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Finance\bargain\000_Board Materials\FY2018 BOT\June Meeting\FY19 Operating Budget\Attachments\"/>
    </mc:Choice>
  </mc:AlternateContent>
  <bookViews>
    <workbookView xWindow="6345" yWindow="45" windowWidth="3870" windowHeight="4230" tabRatio="897"/>
  </bookViews>
  <sheets>
    <sheet name="A - Res Hall Rates" sheetId="41" r:id="rId1"/>
    <sheet name="B - Student Union Fees" sheetId="31" r:id="rId2"/>
    <sheet name="C - Wellness Fees" sheetId="47" r:id="rId3"/>
    <sheet name="D - Parking Fees" sheetId="48" r:id="rId4"/>
    <sheet name="E - Student Housing Owned" sheetId="50" r:id="rId5"/>
    <sheet name="E - Student Housing Managed" sheetId="46" r:id="rId6"/>
    <sheet name="Res Hall Rates Att A-2" sheetId="17" state="hidden" r:id="rId7"/>
    <sheet name="RH Rates Uninflated Att A-3" sheetId="18" state="hidden" r:id="rId8"/>
    <sheet name="Student Fees Att C-1" sheetId="19" state="hidden" r:id="rId9"/>
    <sheet name="SU  Uninflated Att C-2" sheetId="20" state="hidden" r:id="rId10"/>
  </sheets>
  <externalReferences>
    <externalReference r:id="rId11"/>
  </externalReferences>
  <definedNames>
    <definedName name="fna">[1]fna!#REF!</definedName>
    <definedName name="HTML_CodePage" hidden="1">1252</definedName>
    <definedName name="HTML_Control" localSheetId="1" hidden="1">{"'NRNR Banding'!$A$1:$D$22","'FY02 NRNR'!$A$5:$G$55","'NRNR Banding'!$A$1:$D$20"}</definedName>
    <definedName name="HTML_Control" localSheetId="6" hidden="1">{"'NRNR Banding'!$A$1:$D$22","'FY02 NRNR'!$A$5:$G$55","'NRNR Banding'!$A$1:$D$20"}</definedName>
    <definedName name="HTML_Control" localSheetId="7" hidden="1">{"'NRNR Banding'!$A$1:$D$22","'FY02 NRNR'!$A$5:$G$55","'NRNR Banding'!$A$1:$D$20"}</definedName>
    <definedName name="HTML_Control" localSheetId="8" hidden="1">{"'NRNR Banding'!$A$1:$D$22","'FY02 NRNR'!$A$5:$G$55","'NRNR Banding'!$A$1:$D$20"}</definedName>
    <definedName name="HTML_Control" localSheetId="9" hidden="1">{"'NRNR Banding'!$A$1:$D$22","'FY02 NRNR'!$A$5:$G$55","'NRNR Banding'!$A$1:$D$20"}</definedName>
    <definedName name="HTML_Control" hidden="1">{"'NRNR Banding'!$A$1:$D$22","'FY02 NRNR'!$A$5:$G$55","'NRNR Banding'!$A$1:$D$20"}</definedName>
    <definedName name="HTML_Description" hidden="1">""</definedName>
    <definedName name="HTML_Email" hidden="1">""</definedName>
    <definedName name="HTML_Header" hidden="1">""</definedName>
    <definedName name="HTML_LastUpdate" hidden="1">"8/6/01"</definedName>
    <definedName name="HTML_LineAfter" hidden="1">FALSE</definedName>
    <definedName name="HTML_LineBefore" hidden="1">FALSE</definedName>
    <definedName name="HTML_Name" hidden="1">"Melissa Jette"</definedName>
    <definedName name="HTML_OBDlg2" hidden="1">TRUE</definedName>
    <definedName name="HTML_OBDlg4" hidden="1">TRUE</definedName>
    <definedName name="HTML_OS" hidden="1">0</definedName>
    <definedName name="HTML_PathFile" hidden="1">"W:\budget\website\Institution\tuitionfees\fy02banding.html.htm"</definedName>
    <definedName name="HTML_Title" hidden="1">""</definedName>
    <definedName name="_xlnm.Print_Area" localSheetId="0">'A - Res Hall Rates'!$A$1:$H$99</definedName>
    <definedName name="_xlnm.Print_Area" localSheetId="1">'B - Student Union Fees'!$A$1:$G$61</definedName>
    <definedName name="_xlnm.Print_Area" localSheetId="2">'C - Wellness Fees'!$A$1:$F$29</definedName>
    <definedName name="_xlnm.Print_Area" localSheetId="5">'E - Student Housing Managed'!$A$1:$D$33</definedName>
    <definedName name="_xlnm.Print_Area" localSheetId="4">'E - Student Housing Owned'!$A$1:$D$97</definedName>
    <definedName name="_xlnm.Print_Area" localSheetId="6">'Res Hall Rates Att A-2'!$A$1:$K$31</definedName>
    <definedName name="_xlnm.Print_Area" localSheetId="7">'RH Rates Uninflated Att A-3'!$A$1:$O$45</definedName>
    <definedName name="_xlnm.Print_Area" localSheetId="8">'Student Fees Att C-1'!$A$1:$O$46</definedName>
    <definedName name="_xlnm.Print_Area" localSheetId="9">'SU  Uninflated Att C-2'!$A$1:$O$45</definedName>
    <definedName name="_xlnm.Print_Titles" localSheetId="0">'A - Res Hall Rates'!$1:$6</definedName>
    <definedName name="_xlnm.Print_Titles" localSheetId="4">'E - Student Housing Owned'!$1:$9</definedName>
    <definedName name="ss" hidden="1">{"'NRNR Banding'!$A$1:$D$22","'FY02 NRNR'!$A$5:$G$55","'NRNR Banding'!$A$1:$D$20"}</definedName>
  </definedNames>
  <calcPr calcId="162913"/>
</workbook>
</file>

<file path=xl/calcChain.xml><?xml version="1.0" encoding="utf-8"?>
<calcChain xmlns="http://schemas.openxmlformats.org/spreadsheetml/2006/main">
  <c r="D88" i="50" l="1"/>
  <c r="D7" i="47" l="1"/>
  <c r="D52" i="31" l="1"/>
  <c r="D24" i="47" l="1"/>
  <c r="F12" i="41" l="1"/>
  <c r="E12" i="41"/>
  <c r="E47" i="31" l="1"/>
  <c r="D72" i="41"/>
  <c r="D16" i="47" l="1"/>
  <c r="C47" i="50" l="1"/>
  <c r="C52" i="50"/>
  <c r="D20" i="47"/>
  <c r="D11" i="47"/>
  <c r="E32" i="31"/>
  <c r="E37" i="31"/>
  <c r="D47" i="50" l="1"/>
  <c r="C53" i="50" l="1"/>
  <c r="D53" i="50" s="1"/>
  <c r="D54" i="50"/>
  <c r="E59" i="31" l="1"/>
  <c r="E13" i="31"/>
  <c r="B21" i="50"/>
  <c r="C23" i="50"/>
  <c r="C22" i="50"/>
  <c r="C21" i="50"/>
  <c r="E42" i="31"/>
  <c r="E53" i="31" l="1"/>
  <c r="E27" i="31" l="1"/>
  <c r="E23" i="31" l="1"/>
  <c r="C19" i="50" l="1"/>
  <c r="C68" i="50" l="1"/>
  <c r="C67" i="50"/>
  <c r="C65" i="41" l="1"/>
  <c r="D65" i="41" s="1"/>
  <c r="C64" i="41"/>
  <c r="B9" i="46" l="1"/>
  <c r="C9" i="46"/>
  <c r="E8" i="31" l="1"/>
  <c r="E15" i="48" l="1"/>
  <c r="E14" i="48"/>
  <c r="B34" i="50"/>
  <c r="B33" i="50"/>
  <c r="C33" i="50"/>
  <c r="C34" i="50"/>
  <c r="C42" i="50" l="1"/>
  <c r="C41" i="50"/>
  <c r="C39" i="50"/>
  <c r="C40" i="50"/>
  <c r="B72" i="50" l="1"/>
  <c r="C27" i="50"/>
  <c r="D27" i="50" s="1"/>
  <c r="D14" i="50"/>
  <c r="D15" i="50"/>
  <c r="D13" i="50"/>
  <c r="F59" i="31" l="1"/>
  <c r="G59" i="31"/>
  <c r="C72" i="50" l="1"/>
  <c r="D72" i="50" s="1"/>
  <c r="E72" i="41"/>
  <c r="F45" i="41"/>
  <c r="E45" i="41"/>
  <c r="F56" i="41"/>
  <c r="E56" i="41"/>
  <c r="F34" i="41"/>
  <c r="E34" i="41"/>
  <c r="D96" i="50"/>
  <c r="D95" i="50"/>
  <c r="D94" i="50"/>
  <c r="D93" i="50"/>
  <c r="D87" i="50"/>
  <c r="D80" i="50"/>
  <c r="D79" i="50"/>
  <c r="D19" i="50"/>
  <c r="D23" i="50"/>
  <c r="D22" i="50"/>
  <c r="D21" i="50"/>
  <c r="D9" i="46"/>
  <c r="D30" i="46"/>
  <c r="D31" i="46"/>
  <c r="D32" i="46"/>
  <c r="D29" i="46"/>
  <c r="D68" i="50"/>
  <c r="D67" i="50"/>
  <c r="G6" i="48"/>
  <c r="D58" i="41"/>
  <c r="F72" i="41"/>
  <c r="D42" i="50"/>
  <c r="D41" i="50"/>
  <c r="D39" i="50"/>
  <c r="D40" i="50"/>
  <c r="D17" i="46"/>
  <c r="D18" i="46"/>
  <c r="D16" i="46"/>
  <c r="F7" i="47"/>
  <c r="F24" i="47"/>
  <c r="F20" i="47"/>
  <c r="F16" i="47"/>
  <c r="G23" i="31"/>
  <c r="G27" i="31"/>
  <c r="G32" i="31"/>
  <c r="G8" i="31"/>
  <c r="F21" i="41"/>
  <c r="D12" i="41"/>
  <c r="D10" i="41"/>
  <c r="D9" i="41"/>
  <c r="D64" i="41"/>
  <c r="D31" i="41"/>
  <c r="E61" i="41"/>
  <c r="E21" i="41"/>
  <c r="D25" i="46"/>
  <c r="D24" i="46"/>
  <c r="D34" i="50"/>
  <c r="D33" i="50"/>
  <c r="G10" i="48"/>
  <c r="F10" i="48"/>
  <c r="E10" i="48"/>
  <c r="G9" i="48"/>
  <c r="F9" i="48"/>
  <c r="E9" i="48"/>
  <c r="G8" i="48"/>
  <c r="F8" i="48"/>
  <c r="E8" i="48"/>
  <c r="G7" i="48"/>
  <c r="F7" i="48"/>
  <c r="E7" i="48"/>
  <c r="F6" i="48"/>
  <c r="E6" i="48"/>
  <c r="C28" i="47"/>
  <c r="B28" i="47"/>
  <c r="E24" i="47"/>
  <c r="E20" i="47"/>
  <c r="E16" i="47"/>
  <c r="E11" i="47"/>
  <c r="D53" i="31"/>
  <c r="C53" i="31"/>
  <c r="C52" i="31"/>
  <c r="F42" i="31"/>
  <c r="F32" i="31"/>
  <c r="F27" i="31"/>
  <c r="F23" i="31"/>
  <c r="F18" i="31"/>
  <c r="F13" i="31"/>
  <c r="F8" i="31"/>
  <c r="D69" i="41"/>
  <c r="D68" i="41"/>
  <c r="D62" i="41"/>
  <c r="F61" i="41"/>
  <c r="D61" i="41"/>
  <c r="D56" i="41"/>
  <c r="D55" i="41"/>
  <c r="D53" i="41"/>
  <c r="N52" i="41"/>
  <c r="O52" i="41" s="1"/>
  <c r="D52" i="41"/>
  <c r="N51" i="41"/>
  <c r="O51" i="41" s="1"/>
  <c r="D49" i="41"/>
  <c r="D48" i="41"/>
  <c r="O45" i="41"/>
  <c r="D45" i="41"/>
  <c r="N44" i="41"/>
  <c r="O44" i="41" s="1"/>
  <c r="D44" i="41"/>
  <c r="N42" i="41"/>
  <c r="O42" i="41" s="1"/>
  <c r="D42" i="41"/>
  <c r="D41" i="41"/>
  <c r="D37" i="41"/>
  <c r="D34" i="41"/>
  <c r="D33" i="41"/>
  <c r="D30" i="41"/>
  <c r="D29" i="41"/>
  <c r="D26" i="41"/>
  <c r="D25" i="41"/>
  <c r="D24" i="41"/>
  <c r="D20" i="41"/>
  <c r="D18" i="41"/>
  <c r="D17" i="41"/>
  <c r="D14" i="41"/>
  <c r="D8" i="41"/>
  <c r="D6" i="20"/>
  <c r="E6" i="20" s="1"/>
  <c r="O6" i="20"/>
  <c r="B7" i="20"/>
  <c r="C7" i="20" s="1"/>
  <c r="D7" i="20"/>
  <c r="E7" i="20"/>
  <c r="F7" i="20"/>
  <c r="G7" i="20" s="1"/>
  <c r="H7" i="20"/>
  <c r="J7" i="20"/>
  <c r="L7" i="20"/>
  <c r="M7" i="20" s="1"/>
  <c r="O7" i="20"/>
  <c r="H8" i="20"/>
  <c r="I9" i="20" s="1"/>
  <c r="J8" i="20"/>
  <c r="O8" i="20"/>
  <c r="B9" i="20"/>
  <c r="D9" i="20"/>
  <c r="F9" i="20"/>
  <c r="G10" i="20" s="1"/>
  <c r="H9" i="20"/>
  <c r="J9" i="20"/>
  <c r="K10" i="20" s="1"/>
  <c r="L9" i="20"/>
  <c r="O9" i="20"/>
  <c r="B10" i="20"/>
  <c r="D10" i="20"/>
  <c r="E10" i="20" s="1"/>
  <c r="F10" i="20"/>
  <c r="H10" i="20"/>
  <c r="I11" i="20" s="1"/>
  <c r="I10" i="20"/>
  <c r="J10" i="20"/>
  <c r="L10" i="20"/>
  <c r="O10" i="20"/>
  <c r="B11" i="20"/>
  <c r="C11" i="20" s="1"/>
  <c r="D11" i="20"/>
  <c r="F11" i="20"/>
  <c r="G11" i="20" s="1"/>
  <c r="H11" i="20"/>
  <c r="J11" i="20"/>
  <c r="K11" i="20"/>
  <c r="L11" i="20"/>
  <c r="O11" i="20"/>
  <c r="Q11" i="20"/>
  <c r="B12" i="20"/>
  <c r="C13" i="20" s="1"/>
  <c r="D12" i="20"/>
  <c r="F12" i="20"/>
  <c r="G13" i="20" s="1"/>
  <c r="H12" i="20"/>
  <c r="I12" i="20"/>
  <c r="J12" i="20"/>
  <c r="L12" i="20"/>
  <c r="O12" i="20"/>
  <c r="B13" i="20"/>
  <c r="D13" i="20"/>
  <c r="F13" i="20"/>
  <c r="H13" i="20"/>
  <c r="I14" i="20" s="1"/>
  <c r="J13" i="20"/>
  <c r="K13" i="20" s="1"/>
  <c r="L13" i="20"/>
  <c r="M13" i="20"/>
  <c r="O13" i="20"/>
  <c r="Q13" i="20"/>
  <c r="B14" i="20"/>
  <c r="C15" i="20" s="1"/>
  <c r="C14" i="20"/>
  <c r="D14" i="20"/>
  <c r="F14" i="20"/>
  <c r="G14" i="20"/>
  <c r="H14" i="20"/>
  <c r="J14" i="20"/>
  <c r="L14" i="20"/>
  <c r="M14" i="20"/>
  <c r="O14" i="20"/>
  <c r="B15" i="20"/>
  <c r="D15" i="20"/>
  <c r="E15" i="20" s="1"/>
  <c r="F15" i="20"/>
  <c r="G15" i="20" s="1"/>
  <c r="H15" i="20"/>
  <c r="J15" i="20"/>
  <c r="K16" i="20" s="1"/>
  <c r="Q15" i="20"/>
  <c r="L15" i="20"/>
  <c r="O15" i="20"/>
  <c r="B16" i="20"/>
  <c r="D16" i="20"/>
  <c r="E16" i="20" s="1"/>
  <c r="F16" i="20"/>
  <c r="H16" i="20"/>
  <c r="I16" i="20" s="1"/>
  <c r="J16" i="20"/>
  <c r="L16" i="20"/>
  <c r="M16" i="20" s="1"/>
  <c r="B17" i="20"/>
  <c r="D17" i="20"/>
  <c r="E17" i="20"/>
  <c r="F17" i="20"/>
  <c r="G17" i="20" s="1"/>
  <c r="H17" i="20"/>
  <c r="I17" i="20" s="1"/>
  <c r="J17" i="20"/>
  <c r="K17" i="20" s="1"/>
  <c r="L17" i="20"/>
  <c r="M17" i="20" s="1"/>
  <c r="B4" i="19"/>
  <c r="B4" i="20"/>
  <c r="D4" i="19"/>
  <c r="F4" i="19"/>
  <c r="F4" i="20"/>
  <c r="H4" i="19"/>
  <c r="J4" i="19"/>
  <c r="J4" i="20" s="1"/>
  <c r="L4" i="19"/>
  <c r="N4" i="19" s="1"/>
  <c r="N4" i="20" s="1"/>
  <c r="O5" i="20" s="1"/>
  <c r="B5" i="19"/>
  <c r="D5" i="19"/>
  <c r="F5" i="19"/>
  <c r="G5" i="19" s="1"/>
  <c r="F5" i="20"/>
  <c r="G5" i="20" s="1"/>
  <c r="H5" i="19"/>
  <c r="J5" i="19"/>
  <c r="J5" i="20" s="1"/>
  <c r="K5" i="20" s="1"/>
  <c r="L5" i="19"/>
  <c r="B6" i="19"/>
  <c r="D6" i="19"/>
  <c r="E7" i="19"/>
  <c r="E6" i="19"/>
  <c r="F6" i="19"/>
  <c r="H6" i="19"/>
  <c r="H6" i="20" s="1"/>
  <c r="I7" i="20" s="1"/>
  <c r="I7" i="19"/>
  <c r="J6" i="19"/>
  <c r="J6" i="20" s="1"/>
  <c r="L6" i="19"/>
  <c r="N7" i="19"/>
  <c r="B8" i="19"/>
  <c r="B8" i="20" s="1"/>
  <c r="C8" i="19"/>
  <c r="D8" i="19"/>
  <c r="F8" i="19"/>
  <c r="F8" i="20"/>
  <c r="I8" i="19"/>
  <c r="J8" i="19"/>
  <c r="K8" i="19"/>
  <c r="L8" i="19"/>
  <c r="C9" i="19"/>
  <c r="I9" i="19"/>
  <c r="K9" i="19"/>
  <c r="N9" i="19"/>
  <c r="C10" i="19"/>
  <c r="E10" i="19"/>
  <c r="G10" i="19"/>
  <c r="I10" i="19"/>
  <c r="K10" i="19"/>
  <c r="M10" i="19"/>
  <c r="N10" i="19"/>
  <c r="O10" i="19" s="1"/>
  <c r="C11" i="19"/>
  <c r="E11" i="19"/>
  <c r="G11" i="19"/>
  <c r="I11" i="19"/>
  <c r="K11" i="19"/>
  <c r="M11" i="19"/>
  <c r="N11" i="19"/>
  <c r="O11" i="19" s="1"/>
  <c r="Q11" i="19"/>
  <c r="C12" i="19"/>
  <c r="E12" i="19"/>
  <c r="G12" i="19"/>
  <c r="I12" i="19"/>
  <c r="K12" i="19"/>
  <c r="M12" i="19"/>
  <c r="N12" i="19"/>
  <c r="O12" i="19"/>
  <c r="Q12" i="19"/>
  <c r="R12" i="19" s="1"/>
  <c r="C13" i="19"/>
  <c r="E13" i="19"/>
  <c r="G13" i="19"/>
  <c r="I13" i="19"/>
  <c r="K13" i="19"/>
  <c r="M13" i="19"/>
  <c r="N13" i="19"/>
  <c r="O13" i="19"/>
  <c r="Q13" i="19"/>
  <c r="C14" i="19"/>
  <c r="E14" i="19"/>
  <c r="G14" i="19"/>
  <c r="I14" i="19"/>
  <c r="K14" i="19"/>
  <c r="M14" i="19"/>
  <c r="N14" i="19"/>
  <c r="O14" i="19" s="1"/>
  <c r="Q14" i="19"/>
  <c r="R14" i="19"/>
  <c r="C15" i="19"/>
  <c r="E15" i="19"/>
  <c r="G15" i="19"/>
  <c r="I15" i="19"/>
  <c r="K15" i="19"/>
  <c r="M15" i="19"/>
  <c r="N15" i="19"/>
  <c r="Q15" i="19"/>
  <c r="C16" i="19"/>
  <c r="E16" i="19"/>
  <c r="G16" i="19"/>
  <c r="I16" i="19"/>
  <c r="K16" i="19"/>
  <c r="M16" i="19"/>
  <c r="N16" i="19"/>
  <c r="O16" i="19"/>
  <c r="Q16" i="19"/>
  <c r="C17" i="19"/>
  <c r="E17" i="19"/>
  <c r="G17" i="19"/>
  <c r="I17" i="19"/>
  <c r="K17" i="19"/>
  <c r="M17" i="19"/>
  <c r="N17" i="19"/>
  <c r="O17" i="19" s="1"/>
  <c r="Q17" i="19"/>
  <c r="N4" i="18"/>
  <c r="O5" i="18" s="1"/>
  <c r="C5" i="18"/>
  <c r="E5" i="18"/>
  <c r="G5" i="18"/>
  <c r="I5" i="18"/>
  <c r="K5" i="18"/>
  <c r="M5" i="18"/>
  <c r="N5" i="18"/>
  <c r="C6" i="18"/>
  <c r="E6" i="18"/>
  <c r="G6" i="18"/>
  <c r="I6" i="18"/>
  <c r="K6" i="18"/>
  <c r="M6" i="18"/>
  <c r="N6" i="18"/>
  <c r="O6" i="18"/>
  <c r="C7" i="18"/>
  <c r="E7" i="18"/>
  <c r="G7" i="18"/>
  <c r="I7" i="18"/>
  <c r="K7" i="18"/>
  <c r="M7" i="18"/>
  <c r="N7" i="18"/>
  <c r="O7" i="18"/>
  <c r="C8" i="18"/>
  <c r="E8" i="18"/>
  <c r="G8" i="18"/>
  <c r="I8" i="18"/>
  <c r="K8" i="18"/>
  <c r="M8" i="18"/>
  <c r="N8" i="18"/>
  <c r="O8" i="18"/>
  <c r="C9" i="18"/>
  <c r="E9" i="18"/>
  <c r="G9" i="18"/>
  <c r="I9" i="18"/>
  <c r="K9" i="18"/>
  <c r="M9" i="18"/>
  <c r="N9" i="18"/>
  <c r="O9" i="18"/>
  <c r="C10" i="18"/>
  <c r="E10" i="18"/>
  <c r="G10" i="18"/>
  <c r="I10" i="18"/>
  <c r="K10" i="18"/>
  <c r="M10" i="18"/>
  <c r="N10" i="18"/>
  <c r="O10" i="18"/>
  <c r="C11" i="18"/>
  <c r="E11" i="18"/>
  <c r="G11" i="18"/>
  <c r="I11" i="18"/>
  <c r="K11" i="18"/>
  <c r="M11" i="18"/>
  <c r="N11" i="18"/>
  <c r="O11" i="18"/>
  <c r="C12" i="18"/>
  <c r="E12" i="18"/>
  <c r="G12" i="18"/>
  <c r="I12" i="18"/>
  <c r="K12" i="18"/>
  <c r="M12" i="18"/>
  <c r="N12" i="18"/>
  <c r="O12" i="18"/>
  <c r="C13" i="18"/>
  <c r="E13" i="18"/>
  <c r="G13" i="18"/>
  <c r="I13" i="18"/>
  <c r="K13" i="18"/>
  <c r="M13" i="18"/>
  <c r="N13" i="18"/>
  <c r="O13" i="18"/>
  <c r="C14" i="18"/>
  <c r="E14" i="18"/>
  <c r="G14" i="18"/>
  <c r="I14" i="18"/>
  <c r="K14" i="18"/>
  <c r="M14" i="18"/>
  <c r="N14" i="18"/>
  <c r="O14" i="18"/>
  <c r="C15" i="18"/>
  <c r="E15" i="18"/>
  <c r="G15" i="18"/>
  <c r="I15" i="18"/>
  <c r="K15" i="18"/>
  <c r="M15" i="18"/>
  <c r="N15" i="18"/>
  <c r="O15" i="18"/>
  <c r="C16" i="18"/>
  <c r="E16" i="18"/>
  <c r="G16" i="18"/>
  <c r="I16" i="18"/>
  <c r="K16" i="18"/>
  <c r="M16" i="18"/>
  <c r="N16" i="18"/>
  <c r="O16" i="18"/>
  <c r="C17" i="18"/>
  <c r="E17" i="18"/>
  <c r="G17" i="18"/>
  <c r="I17" i="18"/>
  <c r="K17" i="18"/>
  <c r="M17" i="18"/>
  <c r="N17" i="18"/>
  <c r="O17" i="18"/>
  <c r="N4" i="17"/>
  <c r="C5" i="17"/>
  <c r="E5" i="17"/>
  <c r="G5" i="17"/>
  <c r="I5" i="17"/>
  <c r="K5" i="17"/>
  <c r="M5" i="17"/>
  <c r="N5" i="17"/>
  <c r="O5" i="17" s="1"/>
  <c r="C6" i="17"/>
  <c r="E6" i="17"/>
  <c r="G6" i="17"/>
  <c r="I6" i="17"/>
  <c r="K6" i="17"/>
  <c r="M6" i="17"/>
  <c r="N6" i="17"/>
  <c r="O7" i="17" s="1"/>
  <c r="C7" i="17"/>
  <c r="E7" i="17"/>
  <c r="G7" i="17"/>
  <c r="I7" i="17"/>
  <c r="K7" i="17"/>
  <c r="M7" i="17"/>
  <c r="N7" i="17"/>
  <c r="C8" i="17"/>
  <c r="E8" i="17"/>
  <c r="G8" i="17"/>
  <c r="I8" i="17"/>
  <c r="K8" i="17"/>
  <c r="M8" i="17"/>
  <c r="N8" i="17"/>
  <c r="C9" i="17"/>
  <c r="E9" i="17"/>
  <c r="G9" i="17"/>
  <c r="I9" i="17"/>
  <c r="K9" i="17"/>
  <c r="M9" i="17"/>
  <c r="N9" i="17"/>
  <c r="O9" i="17"/>
  <c r="C10" i="17"/>
  <c r="E10" i="17"/>
  <c r="G10" i="17"/>
  <c r="I10" i="17"/>
  <c r="K10" i="17"/>
  <c r="M10" i="17"/>
  <c r="N10" i="17"/>
  <c r="O10" i="17"/>
  <c r="C11" i="17"/>
  <c r="E11" i="17"/>
  <c r="G11" i="17"/>
  <c r="I11" i="17"/>
  <c r="K11" i="17"/>
  <c r="M11" i="17"/>
  <c r="N11" i="17"/>
  <c r="O11" i="17"/>
  <c r="B12" i="17"/>
  <c r="D12" i="17"/>
  <c r="E12" i="17"/>
  <c r="F12" i="17"/>
  <c r="G13" i="17" s="1"/>
  <c r="I12" i="17"/>
  <c r="J12" i="17"/>
  <c r="K12" i="17"/>
  <c r="L12" i="17"/>
  <c r="E13" i="17"/>
  <c r="I13" i="17"/>
  <c r="K13" i="17"/>
  <c r="N13" i="17"/>
  <c r="C14" i="17"/>
  <c r="E14" i="17"/>
  <c r="G14" i="17"/>
  <c r="I14" i="17"/>
  <c r="K14" i="17"/>
  <c r="M14" i="17"/>
  <c r="N14" i="17"/>
  <c r="O14" i="17"/>
  <c r="C15" i="17"/>
  <c r="E15" i="17"/>
  <c r="G15" i="17"/>
  <c r="I15" i="17"/>
  <c r="K15" i="17"/>
  <c r="M15" i="17"/>
  <c r="N15" i="17"/>
  <c r="O15" i="17"/>
  <c r="C16" i="17"/>
  <c r="E16" i="17"/>
  <c r="G16" i="17"/>
  <c r="I16" i="17"/>
  <c r="K16" i="17"/>
  <c r="M16" i="17"/>
  <c r="N16" i="17"/>
  <c r="O16" i="17"/>
  <c r="C17" i="17"/>
  <c r="E17" i="17"/>
  <c r="G17" i="17"/>
  <c r="I17" i="17"/>
  <c r="K17" i="17"/>
  <c r="M17" i="17"/>
  <c r="N17" i="17"/>
  <c r="O17" i="17"/>
  <c r="I6" i="19"/>
  <c r="N16" i="20"/>
  <c r="O16" i="20" s="1"/>
  <c r="M12" i="20"/>
  <c r="I15" i="20"/>
  <c r="C10" i="20"/>
  <c r="O6" i="17"/>
  <c r="D8" i="20"/>
  <c r="B6" i="20"/>
  <c r="C6" i="19"/>
  <c r="C7" i="19"/>
  <c r="D5" i="20"/>
  <c r="E12" i="20"/>
  <c r="O8" i="17"/>
  <c r="R15" i="19"/>
  <c r="K6" i="19"/>
  <c r="K7" i="19"/>
  <c r="G9" i="20"/>
  <c r="I8" i="20"/>
  <c r="G42" i="31"/>
  <c r="F37" i="31"/>
  <c r="G37" i="31"/>
  <c r="K8" i="20"/>
  <c r="R16" i="19"/>
  <c r="R17" i="19"/>
  <c r="I5" i="19"/>
  <c r="H5" i="20"/>
  <c r="I6" i="20" s="1"/>
  <c r="N5" i="19"/>
  <c r="O5" i="19" s="1"/>
  <c r="H4" i="20"/>
  <c r="K12" i="20"/>
  <c r="Q12" i="20"/>
  <c r="R13" i="20" s="1"/>
  <c r="R12" i="20"/>
  <c r="E8" i="20"/>
  <c r="E9" i="20"/>
  <c r="M7" i="19"/>
  <c r="N6" i="19"/>
  <c r="O6" i="19" s="1"/>
  <c r="L6" i="20"/>
  <c r="F6" i="20"/>
  <c r="G7" i="19"/>
  <c r="K14" i="20"/>
  <c r="Q14" i="20"/>
  <c r="R14" i="20"/>
  <c r="M10" i="20"/>
  <c r="M11" i="20"/>
  <c r="C8" i="20"/>
  <c r="C9" i="20"/>
  <c r="E8" i="19"/>
  <c r="N8" i="19"/>
  <c r="O9" i="19" s="1"/>
  <c r="E9" i="19"/>
  <c r="G8" i="19"/>
  <c r="C16" i="20"/>
  <c r="G9" i="19"/>
  <c r="K5" i="19"/>
  <c r="G6" i="20"/>
  <c r="I5" i="20"/>
  <c r="O7" i="19"/>
  <c r="E77" i="41" l="1"/>
  <c r="F77" i="41"/>
  <c r="G45" i="41"/>
  <c r="G34" i="41"/>
  <c r="C60" i="50"/>
  <c r="D60" i="50" s="1"/>
  <c r="C61" i="50"/>
  <c r="D61" i="50" s="1"/>
  <c r="G47" i="31"/>
  <c r="E52" i="31"/>
  <c r="F47" i="31"/>
  <c r="G16" i="20"/>
  <c r="K6" i="20"/>
  <c r="M5" i="19"/>
  <c r="L5" i="20"/>
  <c r="C12" i="20"/>
  <c r="O8" i="19"/>
  <c r="K15" i="20"/>
  <c r="D59" i="50"/>
  <c r="N17" i="20"/>
  <c r="O17" i="20" s="1"/>
  <c r="L4" i="20"/>
  <c r="C17" i="20"/>
  <c r="E13" i="20"/>
  <c r="E14" i="20"/>
  <c r="G12" i="20"/>
  <c r="E11" i="20"/>
  <c r="K7" i="20"/>
  <c r="C13" i="17"/>
  <c r="N12" i="17"/>
  <c r="M9" i="19"/>
  <c r="L8" i="20"/>
  <c r="M8" i="19"/>
  <c r="G8" i="20"/>
  <c r="D4" i="20"/>
  <c r="E5" i="20" s="1"/>
  <c r="E5" i="19"/>
  <c r="G12" i="17"/>
  <c r="R13" i="19"/>
  <c r="C62" i="50"/>
  <c r="D62" i="50" s="1"/>
  <c r="M6" i="19"/>
  <c r="K9" i="20"/>
  <c r="G6" i="19"/>
  <c r="M12" i="17"/>
  <c r="M13" i="17"/>
  <c r="C12" i="17"/>
  <c r="O15" i="19"/>
  <c r="C5" i="19"/>
  <c r="B5" i="20"/>
  <c r="M15" i="20"/>
  <c r="I13" i="20"/>
  <c r="H61" i="41"/>
  <c r="G61" i="41"/>
  <c r="H21" i="41"/>
  <c r="H56" i="41"/>
  <c r="H34" i="41"/>
  <c r="H45" i="41"/>
  <c r="H12" i="41"/>
  <c r="G56" i="41"/>
  <c r="H72" i="41"/>
  <c r="G72" i="41"/>
  <c r="G12" i="41"/>
  <c r="D71" i="41"/>
  <c r="G21" i="41"/>
  <c r="D28" i="47"/>
  <c r="E7" i="47"/>
  <c r="O13" i="17" l="1"/>
  <c r="O12" i="17"/>
  <c r="G52" i="31"/>
  <c r="F52" i="31"/>
  <c r="M5" i="20"/>
  <c r="M6" i="20"/>
  <c r="M8" i="20"/>
  <c r="M9" i="20"/>
  <c r="C5" i="20"/>
  <c r="C6" i="20"/>
  <c r="H82" i="41"/>
  <c r="G81" i="41"/>
  <c r="G82" i="41"/>
  <c r="H81" i="41"/>
  <c r="G77" i="41"/>
  <c r="H77" i="41"/>
  <c r="E28" i="47"/>
  <c r="F28" i="47"/>
</calcChain>
</file>

<file path=xl/sharedStrings.xml><?xml version="1.0" encoding="utf-8"?>
<sst xmlns="http://schemas.openxmlformats.org/spreadsheetml/2006/main" count="428" uniqueCount="262">
  <si>
    <t>Revenue Fund</t>
  </si>
  <si>
    <t>Approved</t>
  </si>
  <si>
    <t>Proposed</t>
  </si>
  <si>
    <t xml:space="preserve">Percent </t>
  </si>
  <si>
    <t>Double Room</t>
  </si>
  <si>
    <t>Single Room</t>
  </si>
  <si>
    <t>St. Cloud State University</t>
  </si>
  <si>
    <t>Winona State University</t>
  </si>
  <si>
    <t>Bemidji State University</t>
  </si>
  <si>
    <t>BEMIDJI</t>
  </si>
  <si>
    <t>MANKATO</t>
  </si>
  <si>
    <t>MOORHEAD</t>
  </si>
  <si>
    <t>SOUTHWEST</t>
  </si>
  <si>
    <t>WINONA</t>
  </si>
  <si>
    <t xml:space="preserve">Revenue Fund </t>
  </si>
  <si>
    <t>ST. CLOUD</t>
  </si>
  <si>
    <t>The Minnesota State Universities - Historical Data</t>
  </si>
  <si>
    <t>Residence Hall Rates</t>
  </si>
  <si>
    <t>SYSTEM</t>
  </si>
  <si>
    <t>92-93</t>
  </si>
  <si>
    <t xml:space="preserve">93-94 </t>
  </si>
  <si>
    <t>94-95</t>
  </si>
  <si>
    <t>95-96</t>
  </si>
  <si>
    <t>96-97</t>
  </si>
  <si>
    <t>97-98</t>
  </si>
  <si>
    <t>98-99</t>
  </si>
  <si>
    <t>99-00</t>
  </si>
  <si>
    <t>00-01</t>
  </si>
  <si>
    <t>01-02</t>
  </si>
  <si>
    <t>02-03</t>
  </si>
  <si>
    <t>03-04</t>
  </si>
  <si>
    <t>Student Union Fees</t>
  </si>
  <si>
    <t>93-94</t>
  </si>
  <si>
    <t>Student Union Fees - Uninflated</t>
  </si>
  <si>
    <t xml:space="preserve"> </t>
  </si>
  <si>
    <t>04-05</t>
  </si>
  <si>
    <t>Residence Hall Rates - Uninflated</t>
  </si>
  <si>
    <t>Average (double room &amp; board)</t>
  </si>
  <si>
    <t>05-06</t>
  </si>
  <si>
    <t>%</t>
  </si>
  <si>
    <t>DRAFT</t>
  </si>
  <si>
    <t>Double occupancy with 15-21 meals per week</t>
  </si>
  <si>
    <t xml:space="preserve"> * Student Union Facility Base Fee, a supplementary amount may be added per campus.</t>
  </si>
  <si>
    <t xml:space="preserve">Maximum Fee </t>
  </si>
  <si>
    <t>New Single 2006</t>
  </si>
  <si>
    <t>Increase over double</t>
  </si>
  <si>
    <t>Do Not Print</t>
  </si>
  <si>
    <t xml:space="preserve">TG/MW 3/10/04 </t>
  </si>
  <si>
    <t>These changes made on REV1 iteration</t>
  </si>
  <si>
    <t xml:space="preserve">Double Room </t>
  </si>
  <si>
    <t>Average</t>
  </si>
  <si>
    <t>Minnesota State University Moorhead</t>
  </si>
  <si>
    <t>Minnesota State University, Mankato</t>
  </si>
  <si>
    <t>Southwest Minnesota State University</t>
  </si>
  <si>
    <t>Annual Wellness Fee</t>
  </si>
  <si>
    <t>Annual Outdoor Rec Facilities</t>
  </si>
  <si>
    <t>Average Fee</t>
  </si>
  <si>
    <t>Change</t>
  </si>
  <si>
    <t>Minneapolis Community &amp; Technical College</t>
  </si>
  <si>
    <t>Normandale Community College</t>
  </si>
  <si>
    <t>(Not in Revenue Fund)</t>
  </si>
  <si>
    <t>Doubles</t>
  </si>
  <si>
    <t>Singles</t>
  </si>
  <si>
    <t>Triples</t>
  </si>
  <si>
    <t>College Manor - Singles</t>
  </si>
  <si>
    <t>Hibbing</t>
  </si>
  <si>
    <t>Itasca</t>
  </si>
  <si>
    <t>Per credit charged to all students</t>
  </si>
  <si>
    <t>Anoka Ramsey Community College</t>
  </si>
  <si>
    <t xml:space="preserve">Summer Session </t>
  </si>
  <si>
    <t xml:space="preserve">Single Room </t>
  </si>
  <si>
    <t>Double as Single</t>
  </si>
  <si>
    <t>Single</t>
  </si>
  <si>
    <t xml:space="preserve">Summer Session (10 weeks) </t>
  </si>
  <si>
    <t>Double (per week)</t>
  </si>
  <si>
    <t xml:space="preserve">Single (per week) </t>
  </si>
  <si>
    <t>Summer Session (per week)</t>
  </si>
  <si>
    <t>Quads</t>
  </si>
  <si>
    <t xml:space="preserve">Alexandria Technical and Community College </t>
  </si>
  <si>
    <t xml:space="preserve">Charge By Credit </t>
  </si>
  <si>
    <t xml:space="preserve">Century College </t>
  </si>
  <si>
    <t>Lot</t>
  </si>
  <si>
    <t>Ramp</t>
  </si>
  <si>
    <t>Lot, Ramp</t>
  </si>
  <si>
    <t xml:space="preserve">Charge by Use </t>
  </si>
  <si>
    <t>Minneapolis Community and Technical College</t>
  </si>
  <si>
    <t xml:space="preserve">St. Cloud State University </t>
  </si>
  <si>
    <t>note</t>
  </si>
  <si>
    <t xml:space="preserve">Average full time student cost based on 129 days of parking </t>
  </si>
  <si>
    <t xml:space="preserve">Summer session rates have been added. </t>
  </si>
  <si>
    <t xml:space="preserve"> FY 2014</t>
  </si>
  <si>
    <t>1 Bedroom</t>
  </si>
  <si>
    <t>2 Bedroom</t>
  </si>
  <si>
    <t>4 Bedroom</t>
  </si>
  <si>
    <t>East Lake Apartments - Winona Foundation- 9 Month Lease</t>
  </si>
  <si>
    <t>Number of beds: 376</t>
  </si>
  <si>
    <t>3 Residents</t>
  </si>
  <si>
    <t xml:space="preserve">4 Residents </t>
  </si>
  <si>
    <t>2 Residents</t>
  </si>
  <si>
    <t>Metropolitan State University</t>
  </si>
  <si>
    <t xml:space="preserve">5.50 per credit hour </t>
  </si>
  <si>
    <t>Fond du Lac Tribal and Community College</t>
  </si>
  <si>
    <t>Minnesota West Community and Technical College</t>
  </si>
  <si>
    <t>Fall Days  - 120</t>
  </si>
  <si>
    <t>Spring Days - 137</t>
  </si>
  <si>
    <t>257 Housing Days</t>
  </si>
  <si>
    <t>by 30 credits</t>
  </si>
  <si>
    <t>by 24 credits</t>
  </si>
  <si>
    <t>by 32 credits</t>
  </si>
  <si>
    <t>Per Credit Facility Assessment Fee</t>
  </si>
  <si>
    <t>Per Credit</t>
  </si>
  <si>
    <t>Annual</t>
  </si>
  <si>
    <t>Per Day</t>
  </si>
  <si>
    <t>% Change</t>
  </si>
  <si>
    <t xml:space="preserve">7.50 per credit hour </t>
  </si>
  <si>
    <t xml:space="preserve">Saint Paul College </t>
  </si>
  <si>
    <t xml:space="preserve">Approved </t>
  </si>
  <si>
    <t xml:space="preserve">Proposed </t>
  </si>
  <si>
    <t>Ave R&amp;B</t>
  </si>
  <si>
    <t xml:space="preserve">Ave R&amp;B </t>
  </si>
  <si>
    <t xml:space="preserve">Suites </t>
  </si>
  <si>
    <t xml:space="preserve">10 meals / week </t>
  </si>
  <si>
    <t xml:space="preserve">Metropolitan State University </t>
  </si>
  <si>
    <t>Minnesota State Community &amp; Technical College</t>
  </si>
  <si>
    <t xml:space="preserve">Winona State University </t>
  </si>
  <si>
    <t>by 12 credits</t>
  </si>
  <si>
    <t>Surface Lot; All students charged except online and off campus internships</t>
  </si>
  <si>
    <t>Ramp; all students charged</t>
  </si>
  <si>
    <t>Ramp; Open in FY16; all students charged</t>
  </si>
  <si>
    <t xml:space="preserve">Surface Lot; All students charged except online </t>
  </si>
  <si>
    <t>Ramp; $5.00/cash (non-contract)</t>
  </si>
  <si>
    <t>Summer or other sessions are charged on a per credit bases</t>
  </si>
  <si>
    <t xml:space="preserve">The total maximum is the amount for the academic year only. </t>
  </si>
  <si>
    <t>St. Cloud State University (Revenue Fund Guarantees debt)</t>
  </si>
  <si>
    <t>Full Apartment Rental</t>
  </si>
  <si>
    <t>10 Month Lease</t>
  </si>
  <si>
    <t xml:space="preserve">MSU Moorhead Foundation Apartments </t>
  </si>
  <si>
    <t>Academic Year</t>
  </si>
  <si>
    <t>Board - Declining Card Balance</t>
  </si>
  <si>
    <t xml:space="preserve">Southwest Minnesota State University Foundation Apartments </t>
  </si>
  <si>
    <t>University/College Managed or Affiliated</t>
  </si>
  <si>
    <t xml:space="preserve">Ramp; All students charged except online; </t>
  </si>
  <si>
    <t>Double (Renovated)</t>
  </si>
  <si>
    <t>Cloquet (based on $14.00/night; 120 fall 137 spring days</t>
  </si>
  <si>
    <t>Number of beds: 142</t>
  </si>
  <si>
    <t>Ramp; $1.50/hr; Max $12 day/$3.00 Evening After 6/$5.00 Weekend Day Flat Rate</t>
  </si>
  <si>
    <t>$12.50/per credit up to 24 credits</t>
  </si>
  <si>
    <t>Per Credit charged to all students</t>
  </si>
  <si>
    <t>56 Beds</t>
  </si>
  <si>
    <t>16 Units (8 with 4 beds, 8 with 3 beds)</t>
  </si>
  <si>
    <t>12 month Contract (meal plan optional)</t>
  </si>
  <si>
    <t>Riverland Community College - Austin</t>
  </si>
  <si>
    <t xml:space="preserve">Summer Session (per week) </t>
  </si>
  <si>
    <t>$</t>
  </si>
  <si>
    <t>Ave Rates</t>
  </si>
  <si>
    <t>Bemidji State University Apartments</t>
  </si>
  <si>
    <t>Efficiency</t>
  </si>
  <si>
    <t>Rates noted above are based on the most common traditional-style room and most popular board plan. Each university charges room and board rates based on the room type and amenities. Full rate sheets are included in the supplementary materials to the Board report.</t>
  </si>
  <si>
    <t>2004 Single was incorrect in 2004</t>
  </si>
  <si>
    <t>FY2018</t>
  </si>
  <si>
    <t xml:space="preserve"> FY 2018</t>
  </si>
  <si>
    <t>FY18</t>
  </si>
  <si>
    <t>FY 2018</t>
  </si>
  <si>
    <t>(2.50 per credit (1-11 credits)</t>
  </si>
  <si>
    <t>$30 per term for banded credits (12-18 cr.)</t>
  </si>
  <si>
    <t>Alexandria Technical and Community College</t>
  </si>
  <si>
    <t>Minnesota State University Mankato</t>
  </si>
  <si>
    <t>Stadium Heights Apartments LLLP</t>
  </si>
  <si>
    <t>96 Units, 372 beds</t>
  </si>
  <si>
    <t xml:space="preserve"> Double room in 5 person Apartment</t>
  </si>
  <si>
    <t xml:space="preserve"> Single room in 5 person Apartment</t>
  </si>
  <si>
    <t xml:space="preserve"> Single room in 3 person Apartment</t>
  </si>
  <si>
    <t xml:space="preserve"> Dining Dollars Plan</t>
  </si>
  <si>
    <t>1,2,3 and 4 bedrooms (includes meal plan of $600 flex dollars)</t>
  </si>
  <si>
    <t>10 Month Lease  Number of beds 144</t>
  </si>
  <si>
    <t>NHED Rainy River</t>
  </si>
  <si>
    <t>Single room</t>
  </si>
  <si>
    <t>St Cloud State University</t>
  </si>
  <si>
    <t xml:space="preserve"> Studio (1 Bed)</t>
  </si>
  <si>
    <t xml:space="preserve"> 1 Bedroom</t>
  </si>
  <si>
    <t xml:space="preserve"> 2 Bedroom</t>
  </si>
  <si>
    <t xml:space="preserve"> 4 Bedroom</t>
  </si>
  <si>
    <t>Coborn Plaza Apartments 453 beds 10 month lease</t>
  </si>
  <si>
    <t>15 meals/ week</t>
  </si>
  <si>
    <t>Academic Lease- 149 beds</t>
  </si>
  <si>
    <t xml:space="preserve"> 4 Bedroom Apartment</t>
  </si>
  <si>
    <t xml:space="preserve"> 3 Bedroom Apartment</t>
  </si>
  <si>
    <t xml:space="preserve"> 2 Bedroom Apartment</t>
  </si>
  <si>
    <t xml:space="preserve">Foundation owned </t>
  </si>
  <si>
    <t>Foundation Owned/Private Managed</t>
  </si>
  <si>
    <t xml:space="preserve">  4 Bedroom</t>
  </si>
  <si>
    <t xml:space="preserve">  3 Bedroom</t>
  </si>
  <si>
    <t xml:space="preserve">  2 Bedroom</t>
  </si>
  <si>
    <t>3 housing Apartments -96 Beds 1 Community Building</t>
  </si>
  <si>
    <t>Singles*</t>
  </si>
  <si>
    <t xml:space="preserve">*Only if space available, most likely all will be filled as doubles </t>
  </si>
  <si>
    <t>Central Lakes College**</t>
  </si>
  <si>
    <t>Flex Dollars included</t>
  </si>
  <si>
    <t>Flex (Basic Mandatory) included</t>
  </si>
  <si>
    <t>University/College Owned/Foundation Owned</t>
  </si>
  <si>
    <t>Canby (Carr Residence Hall) 16 beds</t>
  </si>
  <si>
    <t>Parkway Apartments 99 beds</t>
  </si>
  <si>
    <t>for a total of 257 days) 94 beds</t>
  </si>
  <si>
    <t>116 Beds</t>
  </si>
  <si>
    <t>NHED Mesabi Range (Alpine Village)</t>
  </si>
  <si>
    <t>Virginia 88 beds</t>
  </si>
  <si>
    <t>M-State Fergus Falls</t>
  </si>
  <si>
    <t>3 or 4 beds</t>
  </si>
  <si>
    <t>10 month lease</t>
  </si>
  <si>
    <t>Northland College Thief River Falls</t>
  </si>
  <si>
    <t>Max Change</t>
  </si>
  <si>
    <t>Min Change</t>
  </si>
  <si>
    <t>Minnesota State</t>
  </si>
  <si>
    <t>Proposed Room and Board Fees FY 2019</t>
  </si>
  <si>
    <t>FY2019</t>
  </si>
  <si>
    <t>Proposed Student Union Facility Fees FY 2019</t>
  </si>
  <si>
    <t xml:space="preserve"> FY 2019</t>
  </si>
  <si>
    <t>Proposed Wellness Facility Fees FY 2019</t>
  </si>
  <si>
    <t>Proposed Parking Facility Fees FY 2019</t>
  </si>
  <si>
    <t>FY19</t>
  </si>
  <si>
    <t xml:space="preserve">FY 2019 Housing Fees </t>
  </si>
  <si>
    <t xml:space="preserve">FY2019 Housing Fees </t>
  </si>
  <si>
    <t>FY 2019</t>
  </si>
  <si>
    <t>116 Beds-Apartment Style</t>
  </si>
  <si>
    <t>24.88 per credit hour</t>
  </si>
  <si>
    <t>Vermilion Community College**</t>
  </si>
  <si>
    <t>**Vermilion Food Service is not in the Revenue Fund</t>
  </si>
  <si>
    <t>84 Beds</t>
  </si>
  <si>
    <t xml:space="preserve">Parkway Apartments (6plex) 24 beds </t>
  </si>
  <si>
    <t xml:space="preserve">$10.99 per credit </t>
  </si>
  <si>
    <t xml:space="preserve">13.925 per credit hour </t>
  </si>
  <si>
    <t xml:space="preserve">15.01 per credit hour </t>
  </si>
  <si>
    <t xml:space="preserve">4.90 per credit hour </t>
  </si>
  <si>
    <t>136 Beds</t>
  </si>
  <si>
    <t>144 beds  Apartment style</t>
  </si>
  <si>
    <t>by 18 credits</t>
  </si>
  <si>
    <t>Williams Hillside Village - Triples</t>
  </si>
  <si>
    <t xml:space="preserve">8.30 per credit hour </t>
  </si>
  <si>
    <t>Flex dollars were not included in Contract base amount in FY18</t>
  </si>
  <si>
    <t>Winona has switched to a summer semester rate vs a per night rate as in FY18</t>
  </si>
  <si>
    <t xml:space="preserve">Summer session (per semester starting FY19) </t>
  </si>
  <si>
    <t>200 meals (Aramark)</t>
  </si>
  <si>
    <t>Unlimited (Sodexo)</t>
  </si>
  <si>
    <t>Anytime Plan (Sodexo)</t>
  </si>
  <si>
    <t>21 Meals a Week (Chartwells)</t>
  </si>
  <si>
    <t>10 meals a week (Chartwells)</t>
  </si>
  <si>
    <t>14 Meals a Week (Contract base)(Chartwells)</t>
  </si>
  <si>
    <t xml:space="preserve">($8.50 per credit by 30 credits) </t>
  </si>
  <si>
    <t>Same per credit rate, but only charged up to 24 credits in FY2018</t>
  </si>
  <si>
    <t>Awaiting submittal 4/27/18</t>
  </si>
  <si>
    <t xml:space="preserve">College Owned </t>
  </si>
  <si>
    <t xml:space="preserve">Foundation Owned and Managed </t>
  </si>
  <si>
    <t xml:space="preserve">Foundation Owned / College Managed </t>
  </si>
  <si>
    <t xml:space="preserve">Foundation Owned/University Managed </t>
  </si>
  <si>
    <t xml:space="preserve">Owned and managed by HRA </t>
  </si>
  <si>
    <t xml:space="preserve">Double Room (1) </t>
  </si>
  <si>
    <t>(1) Adjusted FY18 Room Rate from $5688 to $5568</t>
  </si>
  <si>
    <t>(5.80 per credit hour 30 credits )</t>
  </si>
  <si>
    <t xml:space="preserve">($4.00 per credit hour 30 credits) </t>
  </si>
  <si>
    <t>($9.65 per credit hour 24 credits)</t>
  </si>
  <si>
    <t xml:space="preserve">(6.83 per credit hour 24 credits) </t>
  </si>
  <si>
    <t>Mandatory flex dollar meal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</si>
</sst>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6" formatCode="_(* #,##0_);_(* \(#,##0\);_(* &quot;-&quot;??_);_(@_)"/>
    <numFmt numFmtId="167" formatCode="_(&quot;$&quot;* #,##0_);_(&quot;$&quot;* \(#,##0\);_(&quot;$&quot;* &quot;-&quot;??_);_(@_)"/>
    <numFmt numFmtId="168" formatCode="0.0%"/>
  </numFmts>
  <fonts count="29">
    <font>
      <sz val="10"/>
      <name val="Arial"/>
    </font>
    <font>
      <sz val="11"/>
      <color theme="1"/>
      <name val="Calibri"/>
      <family val="2"/>
      <scheme val="minor"/>
    </font>
    <font>
      <sz val="10"/>
      <name val="Arial"/>
      <family val="2"/>
    </font>
    <font>
      <b/>
      <sz val="10"/>
      <name val="Arial"/>
      <family val="2"/>
    </font>
    <font>
      <sz val="10"/>
      <name val="Arial"/>
      <family val="2"/>
    </font>
    <font>
      <b/>
      <sz val="12"/>
      <name val="Arial"/>
      <family val="2"/>
    </font>
    <font>
      <sz val="8"/>
      <name val="Arial"/>
      <family val="2"/>
    </font>
    <font>
      <b/>
      <sz val="9"/>
      <name val="Arial"/>
      <family val="2"/>
    </font>
    <font>
      <sz val="9"/>
      <name val="Arial"/>
      <family val="2"/>
    </font>
    <font>
      <sz val="8"/>
      <name val="Arial"/>
      <family val="2"/>
    </font>
    <font>
      <sz val="12"/>
      <name val="AvantGarde"/>
      <family val="2"/>
    </font>
    <font>
      <sz val="10"/>
      <color indexed="8"/>
      <name val="Arial"/>
      <family val="2"/>
    </font>
    <font>
      <sz val="10"/>
      <color indexed="8"/>
      <name val="MS Sans Serif"/>
      <family val="2"/>
    </font>
    <font>
      <sz val="11"/>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0"/>
      <name val="Calibri"/>
      <family val="2"/>
      <scheme val="minor"/>
    </font>
    <font>
      <b/>
      <sz val="14"/>
      <name val="Calibri"/>
      <family val="2"/>
      <scheme val="minor"/>
    </font>
    <font>
      <b/>
      <sz val="10"/>
      <name val="Calibri"/>
      <family val="2"/>
      <scheme val="minor"/>
    </font>
    <font>
      <b/>
      <sz val="12"/>
      <color indexed="59"/>
      <name val="Calibri"/>
      <family val="2"/>
      <scheme val="minor"/>
    </font>
    <font>
      <b/>
      <i/>
      <sz val="12"/>
      <name val="Calibri"/>
      <family val="2"/>
      <scheme val="minor"/>
    </font>
    <font>
      <sz val="14"/>
      <name val="Calibri"/>
      <family val="2"/>
      <scheme val="minor"/>
    </font>
    <font>
      <b/>
      <sz val="14"/>
      <color theme="1"/>
      <name val="Calibri"/>
      <family val="2"/>
      <scheme val="minor"/>
    </font>
    <font>
      <u/>
      <sz val="12"/>
      <name val="Calibri"/>
      <family val="2"/>
      <scheme val="minor"/>
    </font>
    <font>
      <sz val="12"/>
      <color theme="1"/>
      <name val="Calibri"/>
      <family val="2"/>
      <scheme val="minor"/>
    </font>
    <font>
      <b/>
      <u/>
      <sz val="12"/>
      <color rgb="FFFF0000"/>
      <name val="Calibri"/>
      <family val="2"/>
      <scheme val="minor"/>
    </font>
    <font>
      <b/>
      <u/>
      <sz val="12"/>
      <name val="Calibri"/>
      <family val="2"/>
      <scheme val="minor"/>
    </font>
    <font>
      <i/>
      <u/>
      <sz val="12"/>
      <name val="Calibri"/>
      <family val="2"/>
      <scheme val="minor"/>
    </font>
  </fonts>
  <fills count="9">
    <fill>
      <patternFill patternType="none"/>
    </fill>
    <fill>
      <patternFill patternType="gray125"/>
    </fill>
    <fill>
      <patternFill patternType="solid">
        <fgColor indexed="13"/>
        <bgColor indexed="64"/>
      </patternFill>
    </fill>
    <fill>
      <patternFill patternType="solid">
        <fgColor indexed="14"/>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medium">
        <color auto="1"/>
      </right>
      <top style="medium">
        <color auto="1"/>
      </top>
      <bottom style="medium">
        <color auto="1"/>
      </bottom>
      <diagonal/>
    </border>
  </borders>
  <cellStyleXfs count="16">
    <xf numFmtId="0" fontId="0" fillId="0" borderId="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4" fillId="0" borderId="0"/>
    <xf numFmtId="0" fontId="13" fillId="0" borderId="0"/>
    <xf numFmtId="0" fontId="4" fillId="0" borderId="0"/>
    <xf numFmtId="0" fontId="4" fillId="0" borderId="0"/>
    <xf numFmtId="0" fontId="6" fillId="0" borderId="0"/>
    <xf numFmtId="9" fontId="2"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2" fillId="0" borderId="0"/>
  </cellStyleXfs>
  <cellXfs count="252">
    <xf numFmtId="0" fontId="0" fillId="0" borderId="0" xfId="0"/>
    <xf numFmtId="0" fontId="5" fillId="0" borderId="0" xfId="9" applyFont="1" applyAlignment="1">
      <alignment horizontal="left"/>
    </xf>
    <xf numFmtId="0" fontId="6" fillId="0" borderId="0" xfId="9"/>
    <xf numFmtId="0" fontId="7" fillId="0" borderId="0" xfId="9" applyFont="1" applyAlignment="1">
      <alignment horizontal="right"/>
    </xf>
    <xf numFmtId="0" fontId="7" fillId="0" borderId="0" xfId="9" applyFont="1"/>
    <xf numFmtId="0" fontId="8" fillId="0" borderId="0" xfId="9" applyFont="1"/>
    <xf numFmtId="0" fontId="7" fillId="0" borderId="0" xfId="9" applyFont="1" applyAlignment="1" applyProtection="1">
      <alignment horizontal="left"/>
      <protection locked="0"/>
    </xf>
    <xf numFmtId="0" fontId="8" fillId="0" borderId="0" xfId="9" applyFont="1" applyAlignment="1" applyProtection="1">
      <alignment horizontal="right"/>
      <protection locked="0"/>
    </xf>
    <xf numFmtId="0" fontId="8" fillId="0" borderId="0" xfId="9" applyFont="1" applyAlignment="1" applyProtection="1">
      <alignment horizontal="left"/>
      <protection locked="0"/>
    </xf>
    <xf numFmtId="167" fontId="8" fillId="0" borderId="0" xfId="3" applyNumberFormat="1" applyFont="1" applyAlignment="1" applyProtection="1">
      <alignment horizontal="right"/>
      <protection locked="0"/>
    </xf>
    <xf numFmtId="9" fontId="8" fillId="0" borderId="0" xfId="10" applyFont="1" applyAlignment="1" applyProtection="1">
      <alignment horizontal="right"/>
      <protection locked="0"/>
    </xf>
    <xf numFmtId="167" fontId="8" fillId="0" borderId="0" xfId="3" applyNumberFormat="1" applyFont="1" applyProtection="1">
      <protection locked="0"/>
    </xf>
    <xf numFmtId="37" fontId="8" fillId="0" borderId="0" xfId="9" applyNumberFormat="1" applyFont="1" applyProtection="1">
      <protection locked="0"/>
    </xf>
    <xf numFmtId="37" fontId="8" fillId="0" borderId="0" xfId="9" applyNumberFormat="1" applyFont="1" applyAlignment="1" applyProtection="1">
      <alignment horizontal="right"/>
      <protection locked="0"/>
    </xf>
    <xf numFmtId="166" fontId="8" fillId="0" borderId="0" xfId="1" applyNumberFormat="1" applyFont="1" applyProtection="1">
      <protection locked="0"/>
    </xf>
    <xf numFmtId="0" fontId="8" fillId="0" borderId="0" xfId="9" quotePrefix="1" applyFont="1" applyAlignment="1" applyProtection="1">
      <alignment horizontal="left"/>
      <protection locked="0"/>
    </xf>
    <xf numFmtId="166" fontId="8" fillId="0" borderId="0" xfId="1" applyNumberFormat="1" applyFont="1" applyAlignment="1" applyProtection="1">
      <alignment horizontal="right"/>
      <protection locked="0"/>
    </xf>
    <xf numFmtId="166" fontId="8" fillId="0" borderId="0" xfId="1" applyNumberFormat="1" applyFont="1"/>
    <xf numFmtId="37" fontId="6" fillId="0" borderId="0" xfId="9" applyNumberFormat="1"/>
    <xf numFmtId="16" fontId="8" fillId="0" borderId="0" xfId="9" quotePrefix="1" applyNumberFormat="1" applyFont="1"/>
    <xf numFmtId="0" fontId="8" fillId="0" borderId="0" xfId="9" quotePrefix="1" applyFont="1"/>
    <xf numFmtId="0" fontId="9" fillId="0" borderId="0" xfId="9" applyFont="1"/>
    <xf numFmtId="0" fontId="4" fillId="0" borderId="0" xfId="9" applyFont="1"/>
    <xf numFmtId="9" fontId="8" fillId="0" borderId="0" xfId="10" applyFont="1"/>
    <xf numFmtId="2" fontId="6" fillId="0" borderId="0" xfId="9" applyNumberFormat="1"/>
    <xf numFmtId="43" fontId="8" fillId="0" borderId="0" xfId="1" applyFont="1"/>
    <xf numFmtId="167" fontId="8" fillId="0" borderId="0" xfId="3" quotePrefix="1" applyNumberFormat="1" applyFont="1" applyAlignment="1" applyProtection="1">
      <alignment horizontal="right"/>
      <protection locked="0"/>
    </xf>
    <xf numFmtId="0" fontId="7" fillId="0" borderId="0" xfId="9" applyFont="1" applyFill="1"/>
    <xf numFmtId="0" fontId="8" fillId="0" borderId="0" xfId="9" applyFont="1" applyFill="1"/>
    <xf numFmtId="0" fontId="6" fillId="0" borderId="0" xfId="9" applyFill="1"/>
    <xf numFmtId="166" fontId="8" fillId="0" borderId="0" xfId="1" applyNumberFormat="1" applyFont="1" applyFill="1"/>
    <xf numFmtId="0" fontId="3" fillId="0" borderId="0" xfId="0" applyFont="1" applyFill="1"/>
    <xf numFmtId="166" fontId="8" fillId="0" borderId="0" xfId="1" applyNumberFormat="1" applyFont="1" applyFill="1" applyProtection="1">
      <protection locked="0"/>
    </xf>
    <xf numFmtId="0" fontId="10" fillId="0" borderId="0" xfId="0" applyFont="1"/>
    <xf numFmtId="0" fontId="14" fillId="0" borderId="0" xfId="0" applyFont="1"/>
    <xf numFmtId="0" fontId="15" fillId="0" borderId="0" xfId="0" applyFont="1"/>
    <xf numFmtId="0" fontId="17" fillId="0" borderId="0" xfId="0" applyFont="1" applyAlignment="1">
      <alignment horizontal="center"/>
    </xf>
    <xf numFmtId="0" fontId="17" fillId="0" borderId="0" xfId="0" applyFont="1"/>
    <xf numFmtId="0" fontId="18" fillId="0" borderId="0" xfId="0" applyFont="1"/>
    <xf numFmtId="167" fontId="17" fillId="0" borderId="0" xfId="3" applyNumberFormat="1" applyFont="1" applyFill="1"/>
    <xf numFmtId="0" fontId="19" fillId="0" borderId="0" xfId="0" applyFont="1" applyAlignment="1">
      <alignment horizontal="center"/>
    </xf>
    <xf numFmtId="167" fontId="14" fillId="0" borderId="0" xfId="3" applyNumberFormat="1" applyFont="1"/>
    <xf numFmtId="167" fontId="17" fillId="0" borderId="0" xfId="3" applyNumberFormat="1" applyFont="1"/>
    <xf numFmtId="0" fontId="15" fillId="0" borderId="0" xfId="0" applyFont="1" applyAlignment="1">
      <alignment horizontal="center"/>
    </xf>
    <xf numFmtId="167" fontId="15" fillId="0" borderId="1" xfId="3" applyNumberFormat="1" applyFont="1" applyBorder="1" applyAlignment="1">
      <alignment horizontal="center"/>
    </xf>
    <xf numFmtId="167" fontId="15" fillId="0" borderId="2" xfId="3" applyNumberFormat="1"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167" fontId="15" fillId="0" borderId="6" xfId="3" applyNumberFormat="1" applyFont="1" applyBorder="1" applyAlignment="1">
      <alignment horizontal="center"/>
    </xf>
    <xf numFmtId="167" fontId="15" fillId="0" borderId="7" xfId="3" applyNumberFormat="1"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6" borderId="0" xfId="0" applyFont="1" applyFill="1"/>
    <xf numFmtId="0" fontId="15" fillId="5" borderId="0" xfId="0" applyFont="1" applyFill="1"/>
    <xf numFmtId="167" fontId="14" fillId="0" borderId="0" xfId="3" applyNumberFormat="1" applyFont="1" applyFill="1"/>
    <xf numFmtId="167" fontId="15" fillId="0" borderId="0" xfId="3" applyNumberFormat="1" applyFont="1"/>
    <xf numFmtId="168" fontId="14" fillId="0" borderId="0" xfId="10" applyNumberFormat="1" applyFont="1"/>
    <xf numFmtId="43" fontId="15" fillId="0" borderId="0" xfId="0" applyNumberFormat="1" applyFont="1" applyAlignment="1">
      <alignment horizontal="center"/>
    </xf>
    <xf numFmtId="4" fontId="17" fillId="0" borderId="0" xfId="0" applyNumberFormat="1" applyFont="1" applyFill="1"/>
    <xf numFmtId="0" fontId="17" fillId="0" borderId="0" xfId="0" applyFont="1" applyFill="1"/>
    <xf numFmtId="4" fontId="17" fillId="0" borderId="0" xfId="0" applyNumberFormat="1" applyFont="1"/>
    <xf numFmtId="167" fontId="14" fillId="0" borderId="0" xfId="3" applyNumberFormat="1" applyFont="1" applyFill="1" applyAlignment="1">
      <alignment horizontal="right"/>
    </xf>
    <xf numFmtId="164" fontId="17" fillId="0" borderId="0" xfId="0" applyNumberFormat="1" applyFont="1"/>
    <xf numFmtId="0" fontId="14" fillId="0" borderId="9" xfId="0" applyFont="1" applyBorder="1"/>
    <xf numFmtId="167" fontId="14" fillId="0" borderId="12" xfId="3" applyNumberFormat="1" applyFont="1" applyFill="1" applyBorder="1" applyAlignment="1">
      <alignment horizontal="right"/>
    </xf>
    <xf numFmtId="167" fontId="15" fillId="0" borderId="12" xfId="3" applyNumberFormat="1" applyFont="1" applyFill="1" applyBorder="1"/>
    <xf numFmtId="168" fontId="14" fillId="0" borderId="13" xfId="10" applyNumberFormat="1" applyFont="1" applyBorder="1"/>
    <xf numFmtId="0" fontId="14" fillId="0" borderId="10" xfId="0" applyFont="1" applyFill="1" applyBorder="1"/>
    <xf numFmtId="167" fontId="14" fillId="0" borderId="11" xfId="3" applyNumberFormat="1" applyFont="1" applyFill="1" applyBorder="1" applyAlignment="1">
      <alignment horizontal="right"/>
    </xf>
    <xf numFmtId="167" fontId="15" fillId="0" borderId="11" xfId="3" applyNumberFormat="1" applyFont="1" applyFill="1" applyBorder="1"/>
    <xf numFmtId="168" fontId="14" fillId="0" borderId="14" xfId="10" applyNumberFormat="1" applyFont="1" applyFill="1" applyBorder="1"/>
    <xf numFmtId="167" fontId="14" fillId="0" borderId="0" xfId="0" applyNumberFormat="1" applyFont="1" applyFill="1"/>
    <xf numFmtId="168" fontId="14" fillId="0" borderId="0" xfId="10" applyNumberFormat="1" applyFont="1" applyFill="1"/>
    <xf numFmtId="167" fontId="14" fillId="0" borderId="0" xfId="0" applyNumberFormat="1" applyFont="1" applyFill="1" applyAlignment="1">
      <alignment horizontal="center"/>
    </xf>
    <xf numFmtId="164" fontId="17" fillId="0" borderId="0" xfId="0" applyNumberFormat="1" applyFont="1" applyFill="1"/>
    <xf numFmtId="0" fontId="14" fillId="0" borderId="0" xfId="0" applyFont="1" applyBorder="1"/>
    <xf numFmtId="167" fontId="14" fillId="0" borderId="0" xfId="3" applyNumberFormat="1" applyFont="1" applyFill="1" applyBorder="1" applyAlignment="1">
      <alignment horizontal="right"/>
    </xf>
    <xf numFmtId="167" fontId="14" fillId="0" borderId="0" xfId="3" applyNumberFormat="1" applyFont="1" applyBorder="1"/>
    <xf numFmtId="43" fontId="14" fillId="0" borderId="0" xfId="0" applyNumberFormat="1" applyFont="1"/>
    <xf numFmtId="0" fontId="14" fillId="0" borderId="0" xfId="0" applyFont="1" applyAlignment="1">
      <alignment horizontal="center"/>
    </xf>
    <xf numFmtId="0" fontId="14" fillId="0" borderId="0" xfId="0" applyFont="1" applyFill="1"/>
    <xf numFmtId="167" fontId="14" fillId="0" borderId="0" xfId="3" applyNumberFormat="1" applyFont="1" applyAlignment="1">
      <alignment horizontal="center"/>
    </xf>
    <xf numFmtId="0" fontId="20" fillId="6" borderId="0" xfId="0" applyFont="1" applyFill="1" applyAlignment="1"/>
    <xf numFmtId="0" fontId="14" fillId="0" borderId="0" xfId="0" applyFont="1" applyFill="1" applyAlignment="1">
      <alignment horizontal="center"/>
    </xf>
    <xf numFmtId="167" fontId="15" fillId="0" borderId="0" xfId="3" applyNumberFormat="1" applyFont="1" applyFill="1"/>
    <xf numFmtId="43" fontId="14" fillId="0" borderId="0" xfId="0" applyNumberFormat="1" applyFont="1" applyFill="1"/>
    <xf numFmtId="168" fontId="14" fillId="0" borderId="11" xfId="10" applyNumberFormat="1" applyFont="1" applyFill="1" applyBorder="1"/>
    <xf numFmtId="0" fontId="14" fillId="0" borderId="9" xfId="0" applyFont="1" applyFill="1" applyBorder="1"/>
    <xf numFmtId="167" fontId="14" fillId="0" borderId="12" xfId="3" applyNumberFormat="1" applyFont="1" applyFill="1" applyBorder="1"/>
    <xf numFmtId="168" fontId="14" fillId="0" borderId="13" xfId="10" applyNumberFormat="1" applyFont="1" applyFill="1" applyBorder="1"/>
    <xf numFmtId="44" fontId="14" fillId="0" borderId="11" xfId="3" applyFont="1" applyFill="1" applyBorder="1" applyAlignment="1">
      <alignment horizontal="center"/>
    </xf>
    <xf numFmtId="44" fontId="15" fillId="0" borderId="11" xfId="3" applyFont="1" applyFill="1" applyBorder="1" applyAlignment="1">
      <alignment horizontal="center"/>
    </xf>
    <xf numFmtId="44" fontId="14" fillId="0" borderId="14" xfId="3" applyFont="1" applyFill="1" applyBorder="1"/>
    <xf numFmtId="168" fontId="14" fillId="0" borderId="0" xfId="0" applyNumberFormat="1" applyFont="1" applyFill="1"/>
    <xf numFmtId="167" fontId="14" fillId="0" borderId="0" xfId="3" applyNumberFormat="1" applyFont="1" applyFill="1" applyBorder="1"/>
    <xf numFmtId="10" fontId="14" fillId="0" borderId="0" xfId="0" applyNumberFormat="1" applyFont="1"/>
    <xf numFmtId="0" fontId="15" fillId="0" borderId="0" xfId="0" applyFont="1" applyBorder="1"/>
    <xf numFmtId="9" fontId="14" fillId="0" borderId="0" xfId="0" applyNumberFormat="1" applyFont="1"/>
    <xf numFmtId="0" fontId="20" fillId="6" borderId="0" xfId="0" applyFont="1" applyFill="1" applyAlignment="1">
      <alignment horizontal="left"/>
    </xf>
    <xf numFmtId="168" fontId="14" fillId="0" borderId="11" xfId="10" applyNumberFormat="1" applyFont="1" applyBorder="1"/>
    <xf numFmtId="167" fontId="15" fillId="0" borderId="12" xfId="3" applyNumberFormat="1" applyFont="1" applyBorder="1"/>
    <xf numFmtId="0" fontId="14" fillId="0" borderId="10" xfId="0" applyFont="1" applyBorder="1"/>
    <xf numFmtId="167" fontId="14" fillId="0" borderId="11" xfId="3" applyNumberFormat="1" applyFont="1" applyFill="1" applyBorder="1"/>
    <xf numFmtId="167" fontId="15" fillId="0" borderId="11" xfId="3" applyNumberFormat="1" applyFont="1" applyBorder="1"/>
    <xf numFmtId="168" fontId="14" fillId="0" borderId="14" xfId="10" applyNumberFormat="1" applyFont="1" applyBorder="1"/>
    <xf numFmtId="168" fontId="14" fillId="0" borderId="0" xfId="0" applyNumberFormat="1" applyFont="1"/>
    <xf numFmtId="167" fontId="14" fillId="0" borderId="0" xfId="0" applyNumberFormat="1" applyFont="1" applyAlignment="1">
      <alignment horizontal="center"/>
    </xf>
    <xf numFmtId="167" fontId="14" fillId="0" borderId="0" xfId="3" applyNumberFormat="1" applyFont="1" applyBorder="1" applyAlignment="1">
      <alignment horizontal="right"/>
    </xf>
    <xf numFmtId="0" fontId="17" fillId="2" borderId="0" xfId="0" applyFont="1" applyFill="1"/>
    <xf numFmtId="0" fontId="19" fillId="3" borderId="0" xfId="0" applyFont="1" applyFill="1"/>
    <xf numFmtId="0" fontId="17" fillId="3" borderId="0" xfId="0" applyFont="1" applyFill="1"/>
    <xf numFmtId="0" fontId="17" fillId="0" borderId="1" xfId="0" applyFont="1" applyBorder="1"/>
    <xf numFmtId="0" fontId="17" fillId="4" borderId="2" xfId="0" applyFont="1" applyFill="1" applyBorder="1"/>
    <xf numFmtId="0" fontId="17" fillId="0" borderId="2" xfId="0" applyFont="1" applyBorder="1"/>
    <xf numFmtId="0" fontId="17" fillId="0" borderId="3" xfId="0" applyFont="1" applyBorder="1"/>
    <xf numFmtId="0" fontId="17" fillId="0" borderId="4" xfId="0" applyFont="1" applyBorder="1"/>
    <xf numFmtId="0" fontId="17" fillId="4" borderId="0" xfId="0" applyFont="1" applyFill="1" applyBorder="1"/>
    <xf numFmtId="0" fontId="17" fillId="0" borderId="0" xfId="0" applyFont="1" applyBorder="1"/>
    <xf numFmtId="0" fontId="17" fillId="0" borderId="5" xfId="0" applyFont="1" applyBorder="1"/>
    <xf numFmtId="0" fontId="17" fillId="0" borderId="6" xfId="0" applyFont="1" applyBorder="1"/>
    <xf numFmtId="0" fontId="17" fillId="4" borderId="7" xfId="0" applyFont="1" applyFill="1" applyBorder="1"/>
    <xf numFmtId="0" fontId="17" fillId="0" borderId="7" xfId="0" applyFont="1" applyBorder="1"/>
    <xf numFmtId="0" fontId="17" fillId="0" borderId="8" xfId="0" applyFont="1" applyBorder="1"/>
    <xf numFmtId="0" fontId="15" fillId="7" borderId="0" xfId="0" applyFont="1" applyFill="1"/>
    <xf numFmtId="164" fontId="17" fillId="0" borderId="4" xfId="0" applyNumberFormat="1" applyFont="1" applyBorder="1"/>
    <xf numFmtId="164" fontId="17" fillId="0" borderId="6" xfId="0" applyNumberFormat="1" applyFont="1" applyBorder="1"/>
    <xf numFmtId="167" fontId="14" fillId="0" borderId="0" xfId="3" applyNumberFormat="1" applyFont="1" applyFill="1" applyBorder="1" applyAlignment="1">
      <alignment horizontal="center"/>
    </xf>
    <xf numFmtId="167" fontId="14" fillId="0" borderId="0" xfId="3" applyNumberFormat="1" applyFont="1" applyBorder="1" applyAlignment="1">
      <alignment horizontal="center"/>
    </xf>
    <xf numFmtId="0" fontId="14" fillId="0" borderId="0" xfId="0" applyFont="1" applyFill="1" applyBorder="1"/>
    <xf numFmtId="0" fontId="16" fillId="7" borderId="0" xfId="0" applyFont="1" applyFill="1"/>
    <xf numFmtId="10" fontId="14" fillId="0" borderId="0" xfId="10" applyNumberFormat="1" applyFont="1"/>
    <xf numFmtId="167" fontId="14" fillId="0" borderId="0" xfId="0" applyNumberFormat="1" applyFont="1"/>
    <xf numFmtId="10" fontId="14" fillId="0" borderId="13" xfId="10" applyNumberFormat="1" applyFont="1" applyBorder="1"/>
    <xf numFmtId="10" fontId="14" fillId="0" borderId="14" xfId="10" applyNumberFormat="1" applyFont="1" applyBorder="1"/>
    <xf numFmtId="10" fontId="14" fillId="0" borderId="0" xfId="0" applyNumberFormat="1" applyFont="1" applyAlignment="1">
      <alignment horizontal="center"/>
    </xf>
    <xf numFmtId="168" fontId="15" fillId="0" borderId="0" xfId="10" applyNumberFormat="1" applyFont="1" applyFill="1"/>
    <xf numFmtId="167" fontId="15" fillId="0" borderId="0" xfId="0" applyNumberFormat="1" applyFont="1" applyFill="1" applyAlignment="1">
      <alignment horizontal="center"/>
    </xf>
    <xf numFmtId="167" fontId="14" fillId="0" borderId="0" xfId="3" quotePrefix="1" applyNumberFormat="1" applyFont="1"/>
    <xf numFmtId="167" fontId="15" fillId="0" borderId="0" xfId="3" applyNumberFormat="1" applyFont="1" applyAlignment="1">
      <alignment horizontal="center"/>
    </xf>
    <xf numFmtId="0" fontId="19" fillId="0" borderId="0" xfId="0" applyFont="1" applyFill="1" applyAlignment="1">
      <alignment horizontal="center"/>
    </xf>
    <xf numFmtId="0" fontId="19" fillId="0" borderId="0" xfId="0" applyFont="1"/>
    <xf numFmtId="44" fontId="17" fillId="0" borderId="0" xfId="3" applyFont="1"/>
    <xf numFmtId="0" fontId="19" fillId="0" borderId="0" xfId="9" applyFont="1" applyFill="1"/>
    <xf numFmtId="44" fontId="15" fillId="0" borderId="0" xfId="3" applyFont="1" applyAlignment="1">
      <alignment horizontal="center"/>
    </xf>
    <xf numFmtId="0" fontId="14" fillId="0" borderId="0" xfId="0" applyFont="1" applyBorder="1" applyAlignment="1">
      <alignment horizontal="center"/>
    </xf>
    <xf numFmtId="44" fontId="14" fillId="0" borderId="0" xfId="3" applyFont="1" applyBorder="1" applyAlignment="1">
      <alignment horizontal="center"/>
    </xf>
    <xf numFmtId="164" fontId="14" fillId="0" borderId="0" xfId="0" applyNumberFormat="1" applyFont="1"/>
    <xf numFmtId="164" fontId="15" fillId="0" borderId="0" xfId="0" applyNumberFormat="1" applyFont="1" applyFill="1" applyAlignment="1">
      <alignment horizontal="center"/>
    </xf>
    <xf numFmtId="44" fontId="14" fillId="0" borderId="0" xfId="3" applyFont="1" applyFill="1" applyAlignment="1">
      <alignment horizontal="center"/>
    </xf>
    <xf numFmtId="44" fontId="15" fillId="0" borderId="0" xfId="3" applyFont="1" applyFill="1" applyAlignment="1">
      <alignment horizontal="center"/>
    </xf>
    <xf numFmtId="10" fontId="14" fillId="0" borderId="0" xfId="10" applyNumberFormat="1" applyFont="1" applyAlignment="1">
      <alignment horizontal="center"/>
    </xf>
    <xf numFmtId="44" fontId="14" fillId="0" borderId="0" xfId="0" applyNumberFormat="1" applyFont="1"/>
    <xf numFmtId="44" fontId="14" fillId="0" borderId="0" xfId="3" applyFont="1" applyAlignment="1">
      <alignment horizontal="center"/>
    </xf>
    <xf numFmtId="10" fontId="14" fillId="0" borderId="0" xfId="10" applyNumberFormat="1" applyFont="1" applyFill="1" applyAlignment="1">
      <alignment horizontal="center"/>
    </xf>
    <xf numFmtId="44" fontId="14" fillId="0" borderId="0" xfId="3" applyFont="1"/>
    <xf numFmtId="164" fontId="14" fillId="0" borderId="0" xfId="0" applyNumberFormat="1" applyFont="1" applyFill="1"/>
    <xf numFmtId="10" fontId="14" fillId="0" borderId="0" xfId="0" applyNumberFormat="1" applyFont="1" applyFill="1" applyAlignment="1">
      <alignment horizontal="center"/>
    </xf>
    <xf numFmtId="0" fontId="21" fillId="0" borderId="0" xfId="0" applyFont="1" applyFill="1"/>
    <xf numFmtId="0" fontId="20" fillId="7" borderId="0" xfId="0" applyFont="1" applyFill="1" applyAlignment="1"/>
    <xf numFmtId="10" fontId="15" fillId="0" borderId="0" xfId="10" applyNumberFormat="1" applyFont="1" applyAlignment="1">
      <alignment horizontal="center"/>
    </xf>
    <xf numFmtId="164" fontId="15" fillId="0" borderId="0" xfId="0" applyNumberFormat="1" applyFont="1" applyAlignment="1">
      <alignment horizontal="center"/>
    </xf>
    <xf numFmtId="44" fontId="15" fillId="0" borderId="0" xfId="0" applyNumberFormat="1" applyFont="1"/>
    <xf numFmtId="44" fontId="17" fillId="0" borderId="0" xfId="0" applyNumberFormat="1" applyFont="1"/>
    <xf numFmtId="164" fontId="15" fillId="0" borderId="0" xfId="3" applyNumberFormat="1" applyFont="1" applyAlignment="1">
      <alignment horizontal="center"/>
    </xf>
    <xf numFmtId="0" fontId="22" fillId="0" borderId="0" xfId="0" applyFont="1"/>
    <xf numFmtId="0" fontId="22" fillId="0" borderId="0" xfId="0" applyFont="1" applyAlignment="1">
      <alignment horizontal="center"/>
    </xf>
    <xf numFmtId="0" fontId="22" fillId="0" borderId="0" xfId="0" applyFont="1" applyBorder="1"/>
    <xf numFmtId="0" fontId="22" fillId="0" borderId="0" xfId="0" applyFont="1" applyBorder="1" applyAlignment="1">
      <alignment horizontal="center"/>
    </xf>
    <xf numFmtId="0" fontId="18" fillId="0" borderId="0" xfId="0" applyFont="1" applyBorder="1"/>
    <xf numFmtId="0" fontId="15" fillId="0" borderId="0" xfId="0" applyFont="1" applyBorder="1" applyAlignment="1">
      <alignment horizontal="center"/>
    </xf>
    <xf numFmtId="0" fontId="15" fillId="0" borderId="0" xfId="0" applyFont="1" applyFill="1" applyBorder="1" applyAlignment="1">
      <alignment horizontal="center"/>
    </xf>
    <xf numFmtId="0" fontId="14" fillId="0" borderId="11" xfId="0" applyFont="1" applyBorder="1"/>
    <xf numFmtId="0" fontId="15" fillId="0" borderId="11" xfId="0" applyFont="1" applyBorder="1" applyAlignment="1">
      <alignment horizontal="center"/>
    </xf>
    <xf numFmtId="0" fontId="20" fillId="8" borderId="0" xfId="0" applyFont="1" applyFill="1" applyAlignment="1"/>
    <xf numFmtId="164" fontId="15" fillId="0" borderId="0" xfId="0" applyNumberFormat="1" applyFont="1" applyFill="1"/>
    <xf numFmtId="164" fontId="14" fillId="0" borderId="0" xfId="0" applyNumberFormat="1" applyFont="1" applyFill="1" applyAlignment="1">
      <alignment horizontal="center"/>
    </xf>
    <xf numFmtId="164" fontId="15" fillId="0" borderId="0" xfId="0" applyNumberFormat="1" applyFont="1"/>
    <xf numFmtId="164" fontId="18" fillId="0" borderId="0" xfId="0" applyNumberFormat="1" applyFont="1" applyFill="1" applyAlignment="1">
      <alignment horizontal="center"/>
    </xf>
    <xf numFmtId="0" fontId="20" fillId="8" borderId="0" xfId="0" applyFont="1" applyFill="1" applyAlignment="1">
      <alignment horizontal="left"/>
    </xf>
    <xf numFmtId="0" fontId="18" fillId="0" borderId="0" xfId="0" applyFont="1" applyAlignment="1">
      <alignment horizontal="center"/>
    </xf>
    <xf numFmtId="164" fontId="14" fillId="0" borderId="0" xfId="0" applyNumberFormat="1" applyFont="1" applyAlignment="1">
      <alignment horizontal="center"/>
    </xf>
    <xf numFmtId="10" fontId="15" fillId="0" borderId="0" xfId="10" applyNumberFormat="1" applyFont="1" applyFill="1" applyAlignment="1">
      <alignment horizontal="center"/>
    </xf>
    <xf numFmtId="164" fontId="18" fillId="0" borderId="0" xfId="0" applyNumberFormat="1" applyFont="1" applyAlignment="1">
      <alignment horizontal="center"/>
    </xf>
    <xf numFmtId="0" fontId="15" fillId="0" borderId="0" xfId="0" applyFont="1" applyFill="1"/>
    <xf numFmtId="0" fontId="15" fillId="8" borderId="0" xfId="0" applyFont="1" applyFill="1"/>
    <xf numFmtId="164" fontId="22" fillId="0" borderId="0" xfId="0" applyNumberFormat="1" applyFont="1"/>
    <xf numFmtId="10" fontId="22" fillId="0" borderId="0" xfId="10" applyNumberFormat="1" applyFont="1"/>
    <xf numFmtId="164" fontId="22" fillId="0" borderId="0" xfId="0" applyNumberFormat="1" applyFont="1" applyAlignment="1">
      <alignment horizontal="center"/>
    </xf>
    <xf numFmtId="0" fontId="23" fillId="0" borderId="0" xfId="0" applyFont="1"/>
    <xf numFmtId="0" fontId="15" fillId="0" borderId="15" xfId="0" applyFont="1" applyBorder="1" applyAlignment="1">
      <alignment horizontal="center"/>
    </xf>
    <xf numFmtId="0" fontId="14" fillId="0" borderId="15" xfId="0" applyFont="1" applyBorder="1"/>
    <xf numFmtId="0" fontId="15" fillId="0" borderId="16" xfId="0" applyFont="1" applyBorder="1" applyAlignment="1">
      <alignment horizontal="center"/>
    </xf>
    <xf numFmtId="7" fontId="14" fillId="0" borderId="0" xfId="3" applyNumberFormat="1" applyFont="1" applyFill="1"/>
    <xf numFmtId="7" fontId="14" fillId="0" borderId="0" xfId="3" applyNumberFormat="1" applyFont="1"/>
    <xf numFmtId="7" fontId="14" fillId="0" borderId="0" xfId="0" applyNumberFormat="1" applyFont="1"/>
    <xf numFmtId="5" fontId="14" fillId="0" borderId="0" xfId="0" applyNumberFormat="1" applyFont="1"/>
    <xf numFmtId="5" fontId="15" fillId="0" borderId="0" xfId="3" applyNumberFormat="1" applyFont="1" applyFill="1"/>
    <xf numFmtId="5" fontId="14" fillId="0" borderId="0" xfId="3" applyNumberFormat="1" applyFont="1" applyFill="1"/>
    <xf numFmtId="0" fontId="16" fillId="8" borderId="0" xfId="0" applyFont="1" applyFill="1"/>
    <xf numFmtId="0" fontId="16" fillId="0" borderId="0" xfId="0" applyFont="1" applyFill="1"/>
    <xf numFmtId="0" fontId="15" fillId="0" borderId="0" xfId="0" applyFont="1" applyFill="1" applyAlignment="1">
      <alignment horizontal="left"/>
    </xf>
    <xf numFmtId="10" fontId="14" fillId="0" borderId="0" xfId="10" applyNumberFormat="1" applyFont="1" applyFill="1"/>
    <xf numFmtId="5" fontId="15" fillId="0" borderId="0" xfId="0" applyNumberFormat="1" applyFont="1"/>
    <xf numFmtId="7" fontId="14" fillId="0" borderId="0" xfId="0" applyNumberFormat="1" applyFont="1" applyFill="1"/>
    <xf numFmtId="0" fontId="24" fillId="0" borderId="0" xfId="0" applyFont="1"/>
    <xf numFmtId="0" fontId="15" fillId="0" borderId="16" xfId="0" applyFont="1" applyBorder="1" applyAlignment="1">
      <alignment horizontal="center" vertical="center"/>
    </xf>
    <xf numFmtId="7" fontId="14" fillId="0" borderId="0" xfId="3" applyNumberFormat="1" applyFont="1" applyFill="1" applyAlignment="1">
      <alignment horizontal="center"/>
    </xf>
    <xf numFmtId="167" fontId="14" fillId="0" borderId="0" xfId="3" applyNumberFormat="1" applyFont="1" applyFill="1" applyAlignment="1">
      <alignment horizontal="center"/>
    </xf>
    <xf numFmtId="0" fontId="16" fillId="6" borderId="0" xfId="0" applyFont="1" applyFill="1"/>
    <xf numFmtId="0" fontId="25" fillId="0" borderId="0" xfId="0" applyFont="1" applyFill="1"/>
    <xf numFmtId="0" fontId="25" fillId="0" borderId="0" xfId="0" applyFont="1"/>
    <xf numFmtId="0" fontId="16" fillId="0" borderId="0" xfId="0" applyFont="1"/>
    <xf numFmtId="0" fontId="14" fillId="0" borderId="0" xfId="0" applyFont="1" applyAlignment="1">
      <alignment horizontal="left"/>
    </xf>
    <xf numFmtId="0" fontId="14" fillId="0" borderId="0" xfId="0" applyFont="1" applyAlignment="1"/>
    <xf numFmtId="0" fontId="14" fillId="0" borderId="0" xfId="0" applyFont="1" applyAlignment="1">
      <alignment horizontal="right"/>
    </xf>
    <xf numFmtId="0" fontId="15" fillId="0" borderId="0" xfId="0" applyFont="1" applyAlignment="1">
      <alignment horizontal="left"/>
    </xf>
    <xf numFmtId="166" fontId="15" fillId="0" borderId="0" xfId="1" applyNumberFormat="1" applyFont="1"/>
    <xf numFmtId="0" fontId="15" fillId="0" borderId="7" xfId="5" applyFont="1" applyBorder="1" applyAlignment="1">
      <alignment horizontal="left"/>
    </xf>
    <xf numFmtId="0" fontId="14" fillId="0" borderId="7" xfId="5" applyFont="1" applyBorder="1"/>
    <xf numFmtId="0" fontId="24" fillId="0" borderId="7" xfId="5" applyFont="1" applyBorder="1" applyAlignment="1">
      <alignment horizontal="center"/>
    </xf>
    <xf numFmtId="1" fontId="24" fillId="0" borderId="0" xfId="5" applyNumberFormat="1" applyFont="1" applyBorder="1"/>
    <xf numFmtId="0" fontId="26" fillId="0" borderId="0" xfId="5" applyFont="1" applyBorder="1"/>
    <xf numFmtId="164" fontId="27" fillId="0" borderId="0" xfId="5" applyNumberFormat="1" applyFont="1" applyFill="1" applyBorder="1"/>
    <xf numFmtId="0" fontId="24" fillId="0" borderId="0" xfId="5" applyFont="1" applyBorder="1"/>
    <xf numFmtId="0" fontId="24" fillId="0" borderId="0" xfId="5" applyFont="1" applyBorder="1" applyAlignment="1">
      <alignment horizontal="center"/>
    </xf>
    <xf numFmtId="0" fontId="15" fillId="0" borderId="0" xfId="5" applyFont="1" applyBorder="1"/>
    <xf numFmtId="0" fontId="14" fillId="0" borderId="0" xfId="5" applyFont="1" applyBorder="1"/>
    <xf numFmtId="0" fontId="15" fillId="0" borderId="0" xfId="5" applyFont="1" applyBorder="1" applyAlignment="1">
      <alignment horizontal="center"/>
    </xf>
    <xf numFmtId="0" fontId="15" fillId="0" borderId="17" xfId="5" applyFont="1" applyBorder="1"/>
    <xf numFmtId="0" fontId="28" fillId="0" borderId="0" xfId="5" applyFont="1" applyBorder="1"/>
    <xf numFmtId="0" fontId="14" fillId="0" borderId="0" xfId="5" applyFont="1" applyBorder="1" applyAlignment="1">
      <alignment horizontal="center"/>
    </xf>
    <xf numFmtId="8" fontId="14" fillId="0" borderId="0" xfId="5" applyNumberFormat="1" applyFont="1" applyFill="1" applyBorder="1" applyAlignment="1">
      <alignment horizontal="center"/>
    </xf>
    <xf numFmtId="8" fontId="15" fillId="0" borderId="0" xfId="5" applyNumberFormat="1" applyFont="1" applyFill="1" applyBorder="1" applyAlignment="1">
      <alignment horizontal="center"/>
    </xf>
    <xf numFmtId="10" fontId="14" fillId="0" borderId="0" xfId="5" applyNumberFormat="1" applyFont="1" applyFill="1" applyBorder="1" applyAlignment="1">
      <alignment horizontal="center"/>
    </xf>
    <xf numFmtId="8" fontId="14" fillId="0" borderId="0" xfId="5" applyNumberFormat="1" applyFont="1" applyBorder="1" applyAlignment="1">
      <alignment horizontal="center"/>
    </xf>
    <xf numFmtId="0" fontId="14" fillId="0" borderId="0" xfId="5" applyNumberFormat="1" applyFont="1" applyBorder="1" applyAlignment="1"/>
    <xf numFmtId="8" fontId="15" fillId="0" borderId="0" xfId="5" applyNumberFormat="1" applyFont="1" applyBorder="1" applyAlignment="1">
      <alignment horizontal="center"/>
    </xf>
    <xf numFmtId="0" fontId="14" fillId="0" borderId="0" xfId="3" applyNumberFormat="1" applyFont="1" applyBorder="1" applyAlignment="1"/>
    <xf numFmtId="0" fontId="14" fillId="0" borderId="0" xfId="3" applyNumberFormat="1" applyFont="1" applyBorder="1" applyAlignment="1">
      <alignment vertical="top"/>
    </xf>
    <xf numFmtId="0" fontId="14" fillId="0" borderId="0" xfId="5" applyFont="1"/>
    <xf numFmtId="8" fontId="14" fillId="0" borderId="0" xfId="5" applyNumberFormat="1" applyFont="1" applyAlignment="1">
      <alignment horizontal="center"/>
    </xf>
    <xf numFmtId="8" fontId="15" fillId="0" borderId="0" xfId="5" applyNumberFormat="1" applyFont="1" applyFill="1" applyAlignment="1">
      <alignment horizontal="center"/>
    </xf>
    <xf numFmtId="0" fontId="14" fillId="0" borderId="0" xfId="5" applyNumberFormat="1" applyFont="1" applyAlignment="1"/>
    <xf numFmtId="0" fontId="15" fillId="0" borderId="0" xfId="5" applyFont="1"/>
    <xf numFmtId="8" fontId="15" fillId="0" borderId="0" xfId="5" applyNumberFormat="1" applyFont="1" applyAlignment="1">
      <alignment horizontal="center"/>
    </xf>
    <xf numFmtId="8" fontId="14" fillId="0" borderId="0" xfId="5" applyNumberFormat="1" applyFont="1" applyFill="1" applyAlignment="1">
      <alignment horizontal="center"/>
    </xf>
    <xf numFmtId="0" fontId="14" fillId="0" borderId="0" xfId="5" applyFont="1" applyFill="1" applyBorder="1"/>
    <xf numFmtId="0" fontId="14" fillId="0" borderId="0" xfId="5" applyFont="1" applyBorder="1" applyAlignment="1"/>
    <xf numFmtId="0" fontId="14" fillId="0" borderId="0" xfId="5" applyFont="1" applyAlignment="1"/>
    <xf numFmtId="0" fontId="14" fillId="0" borderId="0" xfId="5" applyFont="1" applyAlignment="1">
      <alignment horizontal="center"/>
    </xf>
    <xf numFmtId="0" fontId="14" fillId="0" borderId="0" xfId="5" applyFont="1" applyFill="1"/>
    <xf numFmtId="0" fontId="14" fillId="0" borderId="0" xfId="0" applyFont="1" applyAlignment="1">
      <alignment vertical="top" wrapText="1"/>
    </xf>
  </cellXfs>
  <cellStyles count="16">
    <cellStyle name="Comma" xfId="1" builtinId="3"/>
    <cellStyle name="Comma 2" xfId="2"/>
    <cellStyle name="Currency" xfId="3" builtinId="4"/>
    <cellStyle name="Currency 2" xfId="4"/>
    <cellStyle name="Currency 3" xfId="14"/>
    <cellStyle name="Normal" xfId="0" builtinId="0"/>
    <cellStyle name="Normal 2" xfId="5"/>
    <cellStyle name="Normal 2 2" xfId="6"/>
    <cellStyle name="Normal 2 3" xfId="15"/>
    <cellStyle name="Normal 3" xfId="7"/>
    <cellStyle name="Normal 4" xfId="12"/>
    <cellStyle name="Normal 5" xfId="8"/>
    <cellStyle name="Normal_Datahist" xfId="9"/>
    <cellStyle name="Percent" xfId="10" builtinId="5"/>
    <cellStyle name="Percent 2" xfId="11"/>
    <cellStyle name="Percent 3"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scu-my.sharepoint.com/FINANCE/FACILITIES%20&amp;%20SUPPORT%20SRVCS/Revenue%20Fund/10year%20Reinv%20Plan/MSU%20MH/MHRHbyY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
      <sheetName val="Summary"/>
      <sheetName val="Sheet2 (2)"/>
      <sheetName val="Sort"/>
      <sheetName val="Sort (2)"/>
      <sheetName val="Comstock"/>
      <sheetName val="Subtotal"/>
      <sheetName val="Sheet1"/>
      <sheetName val="Sheet2"/>
      <sheetName val="fna"/>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U99"/>
  <sheetViews>
    <sheetView tabSelected="1" view="pageBreakPreview" zoomScaleNormal="100" zoomScaleSheetLayoutView="100" workbookViewId="0">
      <selection activeCell="A2" sqref="A2"/>
    </sheetView>
  </sheetViews>
  <sheetFormatPr defaultColWidth="9.140625" defaultRowHeight="12.75"/>
  <cols>
    <col min="1" max="1" width="41.5703125" style="37" customWidth="1"/>
    <col min="2" max="2" width="12.28515625" style="42" bestFit="1" customWidth="1"/>
    <col min="3" max="3" width="11.85546875" style="42" bestFit="1" customWidth="1"/>
    <col min="4" max="4" width="8.85546875" style="37" bestFit="1" customWidth="1"/>
    <col min="5" max="5" width="10.5703125" style="37" bestFit="1" customWidth="1"/>
    <col min="6" max="6" width="12.140625" style="37" bestFit="1" customWidth="1"/>
    <col min="7" max="7" width="11.140625" style="37" bestFit="1" customWidth="1"/>
    <col min="8" max="8" width="9.85546875" style="40" customWidth="1"/>
    <col min="9" max="9" width="10.28515625" style="37" bestFit="1" customWidth="1"/>
    <col min="10" max="10" width="13.85546875" style="37" customWidth="1"/>
    <col min="11" max="11" width="9.140625" style="37"/>
    <col min="12" max="12" width="10.5703125" style="37" hidden="1" customWidth="1"/>
    <col min="13" max="14" width="9.28515625" style="37" hidden="1" customWidth="1"/>
    <col min="15" max="20" width="0" style="37" hidden="1" customWidth="1"/>
    <col min="21" max="16384" width="9.140625" style="37"/>
  </cols>
  <sheetData>
    <row r="1" spans="1:21" ht="18.75">
      <c r="A1" s="38" t="s">
        <v>212</v>
      </c>
      <c r="B1" s="39"/>
      <c r="C1" s="39"/>
    </row>
    <row r="2" spans="1:21" ht="18.75">
      <c r="A2" s="38" t="s">
        <v>0</v>
      </c>
      <c r="B2" s="39"/>
      <c r="C2" s="41"/>
    </row>
    <row r="3" spans="1:21" ht="18.75">
      <c r="A3" s="38" t="s">
        <v>213</v>
      </c>
    </row>
    <row r="4" spans="1:21" ht="16.5" thickBot="1">
      <c r="A4" s="34"/>
      <c r="B4" s="41"/>
      <c r="C4" s="41"/>
      <c r="D4" s="34"/>
      <c r="E4" s="34"/>
      <c r="F4" s="34"/>
      <c r="G4" s="34"/>
      <c r="H4" s="43"/>
    </row>
    <row r="5" spans="1:21" ht="15.75">
      <c r="A5" s="34"/>
      <c r="B5" s="44" t="s">
        <v>116</v>
      </c>
      <c r="C5" s="45" t="s">
        <v>117</v>
      </c>
      <c r="D5" s="46" t="s">
        <v>3</v>
      </c>
      <c r="E5" s="46" t="s">
        <v>118</v>
      </c>
      <c r="F5" s="46" t="s">
        <v>119</v>
      </c>
      <c r="G5" s="46" t="s">
        <v>113</v>
      </c>
      <c r="H5" s="47" t="s">
        <v>153</v>
      </c>
    </row>
    <row r="6" spans="1:21" ht="16.5" thickBot="1">
      <c r="A6" s="34"/>
      <c r="B6" s="48" t="s">
        <v>162</v>
      </c>
      <c r="C6" s="49" t="s">
        <v>214</v>
      </c>
      <c r="D6" s="50" t="s">
        <v>57</v>
      </c>
      <c r="E6" s="50" t="s">
        <v>159</v>
      </c>
      <c r="F6" s="50" t="s">
        <v>214</v>
      </c>
      <c r="G6" s="50" t="s">
        <v>154</v>
      </c>
      <c r="H6" s="51" t="s">
        <v>57</v>
      </c>
    </row>
    <row r="7" spans="1:21" ht="15.75">
      <c r="A7" s="52" t="s">
        <v>8</v>
      </c>
      <c r="B7" s="53"/>
      <c r="C7" s="41"/>
      <c r="D7" s="34"/>
      <c r="E7" s="34"/>
      <c r="F7" s="34"/>
      <c r="G7" s="34"/>
      <c r="H7" s="43"/>
    </row>
    <row r="8" spans="1:21" ht="15.75">
      <c r="A8" s="34" t="s">
        <v>49</v>
      </c>
      <c r="B8" s="54">
        <v>5123</v>
      </c>
      <c r="C8" s="55">
        <v>5276</v>
      </c>
      <c r="D8" s="56">
        <f>C8/B8-1</f>
        <v>2.9865313292992468E-2</v>
      </c>
      <c r="E8" s="34"/>
      <c r="F8" s="34"/>
      <c r="G8" s="34"/>
      <c r="H8" s="57"/>
      <c r="I8" s="58"/>
      <c r="J8" s="59"/>
      <c r="K8" s="59"/>
      <c r="L8" s="59"/>
      <c r="M8" s="59"/>
      <c r="N8" s="59"/>
      <c r="O8" s="59"/>
      <c r="P8" s="59"/>
      <c r="Q8" s="59"/>
      <c r="R8" s="59"/>
      <c r="S8" s="59"/>
      <c r="T8" s="59"/>
      <c r="U8" s="59"/>
    </row>
    <row r="9" spans="1:21" ht="15.75">
      <c r="A9" s="34" t="s">
        <v>5</v>
      </c>
      <c r="B9" s="54">
        <v>5966</v>
      </c>
      <c r="C9" s="55">
        <v>6144</v>
      </c>
      <c r="D9" s="56">
        <f>C9/B9-1</f>
        <v>2.9835735836406307E-2</v>
      </c>
      <c r="E9" s="34"/>
      <c r="F9" s="41"/>
      <c r="G9" s="34"/>
      <c r="H9" s="57"/>
      <c r="I9" s="60"/>
    </row>
    <row r="10" spans="1:21" ht="15.75">
      <c r="A10" s="34" t="s">
        <v>120</v>
      </c>
      <c r="B10" s="61">
        <v>6384</v>
      </c>
      <c r="C10" s="55">
        <v>6544</v>
      </c>
      <c r="D10" s="56">
        <f>C10/B10-1</f>
        <v>2.506265664160412E-2</v>
      </c>
      <c r="E10" s="34"/>
      <c r="F10" s="41"/>
      <c r="G10" s="34"/>
      <c r="H10" s="57"/>
      <c r="I10" s="62"/>
    </row>
    <row r="11" spans="1:21" ht="15.75">
      <c r="A11" s="63" t="s">
        <v>241</v>
      </c>
      <c r="B11" s="64">
        <v>3040</v>
      </c>
      <c r="C11" s="65">
        <v>3132</v>
      </c>
      <c r="D11" s="66"/>
      <c r="E11" s="34"/>
      <c r="F11" s="41"/>
      <c r="G11" s="34"/>
      <c r="H11" s="57"/>
      <c r="I11" s="62"/>
    </row>
    <row r="12" spans="1:21" s="59" customFormat="1" ht="15.75">
      <c r="A12" s="67" t="s">
        <v>197</v>
      </c>
      <c r="B12" s="68">
        <v>345</v>
      </c>
      <c r="C12" s="69">
        <v>345</v>
      </c>
      <c r="D12" s="70">
        <f>C12/B12-1</f>
        <v>0</v>
      </c>
      <c r="E12" s="71">
        <f>B8+B11</f>
        <v>8163</v>
      </c>
      <c r="F12" s="54">
        <f>C8+C11</f>
        <v>8408</v>
      </c>
      <c r="G12" s="72">
        <f>F12/E12-1</f>
        <v>3.0013475437951742E-2</v>
      </c>
      <c r="H12" s="73">
        <f>F12-E12</f>
        <v>245</v>
      </c>
      <c r="I12" s="74"/>
    </row>
    <row r="13" spans="1:21" ht="15.75">
      <c r="A13" s="75"/>
      <c r="B13" s="76"/>
      <c r="C13" s="77"/>
      <c r="D13" s="56"/>
      <c r="E13" s="41"/>
      <c r="F13" s="41"/>
      <c r="G13" s="78"/>
      <c r="H13" s="79"/>
      <c r="I13" s="62"/>
    </row>
    <row r="14" spans="1:21" ht="15.75">
      <c r="A14" s="75" t="s">
        <v>76</v>
      </c>
      <c r="B14" s="76">
        <v>150</v>
      </c>
      <c r="C14" s="77">
        <v>155</v>
      </c>
      <c r="D14" s="56">
        <f>C14/B14-1</f>
        <v>3.3333333333333437E-2</v>
      </c>
      <c r="E14" s="41"/>
      <c r="F14" s="41"/>
      <c r="G14" s="78"/>
      <c r="H14" s="79"/>
      <c r="I14" s="62"/>
    </row>
    <row r="15" spans="1:21" ht="15.75">
      <c r="A15" s="80"/>
      <c r="B15" s="54"/>
      <c r="C15" s="41"/>
      <c r="D15" s="56"/>
      <c r="E15" s="81"/>
      <c r="F15" s="81"/>
      <c r="G15" s="34"/>
      <c r="H15" s="79"/>
      <c r="I15" s="62"/>
    </row>
    <row r="16" spans="1:21" ht="15.75">
      <c r="A16" s="82" t="s">
        <v>51</v>
      </c>
      <c r="B16" s="54"/>
      <c r="C16" s="41"/>
      <c r="D16" s="56"/>
      <c r="E16" s="41"/>
      <c r="F16" s="41"/>
      <c r="G16" s="34"/>
      <c r="H16" s="83"/>
      <c r="I16" s="74"/>
      <c r="J16" s="59"/>
    </row>
    <row r="17" spans="1:10" ht="15.75">
      <c r="A17" s="80" t="s">
        <v>4</v>
      </c>
      <c r="B17" s="54">
        <v>5224</v>
      </c>
      <c r="C17" s="55">
        <v>5380</v>
      </c>
      <c r="D17" s="56">
        <f>C17/B17-1</f>
        <v>2.9862174578866751E-2</v>
      </c>
      <c r="E17" s="41"/>
      <c r="F17" s="41"/>
      <c r="G17" s="78"/>
      <c r="H17" s="83"/>
      <c r="I17" s="74"/>
      <c r="J17" s="59"/>
    </row>
    <row r="18" spans="1:10" s="59" customFormat="1" ht="15.75">
      <c r="A18" s="80" t="s">
        <v>5</v>
      </c>
      <c r="B18" s="54">
        <v>5998</v>
      </c>
      <c r="C18" s="84">
        <v>6178</v>
      </c>
      <c r="D18" s="72">
        <f>C18/B18-1</f>
        <v>3.0010003334444812E-2</v>
      </c>
      <c r="E18" s="54"/>
      <c r="F18" s="54"/>
      <c r="G18" s="85"/>
      <c r="H18" s="83"/>
      <c r="I18" s="74"/>
    </row>
    <row r="19" spans="1:10" s="59" customFormat="1" ht="15.75">
      <c r="A19" s="80"/>
      <c r="B19" s="54"/>
      <c r="C19" s="54"/>
      <c r="D19" s="86"/>
      <c r="E19" s="54"/>
      <c r="F19" s="54"/>
      <c r="G19" s="85"/>
      <c r="H19" s="83"/>
      <c r="I19" s="74"/>
    </row>
    <row r="20" spans="1:10" s="59" customFormat="1" ht="15.75">
      <c r="A20" s="87" t="s">
        <v>242</v>
      </c>
      <c r="B20" s="88">
        <v>3058</v>
      </c>
      <c r="C20" s="65">
        <v>3152</v>
      </c>
      <c r="D20" s="89">
        <f>C20/B20-1</f>
        <v>3.0739045127534226E-2</v>
      </c>
      <c r="E20" s="54"/>
      <c r="F20" s="54"/>
      <c r="G20" s="85"/>
      <c r="H20" s="83"/>
      <c r="I20" s="74"/>
    </row>
    <row r="21" spans="1:10" s="59" customFormat="1" ht="15.75">
      <c r="A21" s="67" t="s">
        <v>197</v>
      </c>
      <c r="B21" s="90">
        <v>150</v>
      </c>
      <c r="C21" s="91">
        <v>150</v>
      </c>
      <c r="D21" s="92"/>
      <c r="E21" s="54">
        <f>B17+B20</f>
        <v>8282</v>
      </c>
      <c r="F21" s="54">
        <f>C20+C17</f>
        <v>8532</v>
      </c>
      <c r="G21" s="93">
        <f>(F21-E21)/E21</f>
        <v>3.0185945423810673E-2</v>
      </c>
      <c r="H21" s="73">
        <f>F21-E21</f>
        <v>250</v>
      </c>
      <c r="I21" s="74"/>
    </row>
    <row r="22" spans="1:10" ht="15.75">
      <c r="A22" s="75"/>
      <c r="B22" s="94"/>
      <c r="C22" s="77"/>
      <c r="D22" s="56"/>
      <c r="E22" s="41"/>
      <c r="F22" s="41"/>
      <c r="G22" s="95"/>
      <c r="H22" s="79"/>
      <c r="I22" s="62"/>
    </row>
    <row r="23" spans="1:10" ht="15.75">
      <c r="A23" s="96" t="s">
        <v>152</v>
      </c>
      <c r="B23" s="94"/>
      <c r="C23" s="77"/>
      <c r="D23" s="56"/>
      <c r="E23" s="41"/>
      <c r="F23" s="41"/>
      <c r="G23" s="97"/>
      <c r="H23" s="79"/>
      <c r="I23" s="62"/>
    </row>
    <row r="24" spans="1:10" ht="15.75">
      <c r="A24" s="75" t="s">
        <v>4</v>
      </c>
      <c r="B24" s="76">
        <v>87</v>
      </c>
      <c r="C24" s="94">
        <v>87</v>
      </c>
      <c r="D24" s="56">
        <f>C24/B24-1</f>
        <v>0</v>
      </c>
      <c r="E24" s="41"/>
      <c r="F24" s="41"/>
      <c r="G24" s="97"/>
      <c r="H24" s="79"/>
      <c r="I24" s="62"/>
    </row>
    <row r="25" spans="1:10" ht="15.75">
      <c r="A25" s="75" t="s">
        <v>70</v>
      </c>
      <c r="B25" s="76">
        <v>107</v>
      </c>
      <c r="C25" s="94">
        <v>107</v>
      </c>
      <c r="D25" s="56">
        <f>C25/B25-1</f>
        <v>0</v>
      </c>
      <c r="E25" s="41"/>
      <c r="F25" s="41"/>
      <c r="G25" s="97"/>
      <c r="H25" s="79"/>
      <c r="I25" s="62"/>
    </row>
    <row r="26" spans="1:10" ht="15.75">
      <c r="A26" s="75" t="s">
        <v>71</v>
      </c>
      <c r="B26" s="76">
        <v>119</v>
      </c>
      <c r="C26" s="94">
        <v>119</v>
      </c>
      <c r="D26" s="56">
        <f>C26/B26-1</f>
        <v>0</v>
      </c>
      <c r="E26" s="41"/>
      <c r="F26" s="41"/>
      <c r="G26" s="97"/>
      <c r="H26" s="79"/>
      <c r="I26" s="62"/>
    </row>
    <row r="27" spans="1:10" ht="15.75">
      <c r="A27" s="80"/>
      <c r="B27" s="54"/>
      <c r="C27" s="41"/>
      <c r="D27" s="56"/>
      <c r="E27" s="41"/>
      <c r="F27" s="41"/>
      <c r="G27" s="78"/>
      <c r="H27" s="79"/>
      <c r="I27" s="62"/>
    </row>
    <row r="28" spans="1:10" ht="15.75">
      <c r="A28" s="98" t="s">
        <v>52</v>
      </c>
      <c r="B28" s="54"/>
      <c r="C28" s="41"/>
      <c r="D28" s="56"/>
      <c r="E28" s="41"/>
      <c r="F28" s="41"/>
      <c r="G28" s="78"/>
      <c r="H28" s="79"/>
      <c r="I28" s="62"/>
    </row>
    <row r="29" spans="1:10" ht="15.75">
      <c r="A29" s="80" t="s">
        <v>4</v>
      </c>
      <c r="B29" s="54">
        <v>5524</v>
      </c>
      <c r="C29" s="55">
        <v>5704</v>
      </c>
      <c r="D29" s="56">
        <f>C29/B29-1</f>
        <v>3.2585083272990589E-2</v>
      </c>
      <c r="E29" s="41"/>
      <c r="F29" s="41"/>
      <c r="G29" s="78"/>
      <c r="H29" s="79"/>
      <c r="I29" s="62"/>
    </row>
    <row r="30" spans="1:10" ht="15.75">
      <c r="A30" s="34" t="s">
        <v>5</v>
      </c>
      <c r="B30" s="54">
        <v>7596</v>
      </c>
      <c r="C30" s="55">
        <v>7834</v>
      </c>
      <c r="D30" s="56">
        <f>C30/B30-1</f>
        <v>3.1332280147446046E-2</v>
      </c>
      <c r="E30" s="41"/>
      <c r="F30" s="41"/>
      <c r="G30" s="78"/>
      <c r="H30" s="79"/>
      <c r="I30" s="62"/>
    </row>
    <row r="31" spans="1:10" ht="15.75">
      <c r="A31" s="34" t="s">
        <v>120</v>
      </c>
      <c r="B31" s="54">
        <v>7057</v>
      </c>
      <c r="C31" s="55">
        <v>7340</v>
      </c>
      <c r="D31" s="56">
        <f>C31/B31-1</f>
        <v>4.0102026356808818E-2</v>
      </c>
      <c r="E31" s="41"/>
      <c r="F31" s="41"/>
      <c r="G31" s="78"/>
      <c r="H31" s="79"/>
      <c r="I31" s="62"/>
    </row>
    <row r="32" spans="1:10" ht="15.75">
      <c r="A32" s="34"/>
      <c r="B32" s="54"/>
      <c r="C32" s="41"/>
      <c r="D32" s="99"/>
      <c r="E32" s="41"/>
      <c r="F32" s="41"/>
      <c r="G32" s="78"/>
      <c r="H32" s="79"/>
      <c r="I32" s="62"/>
    </row>
    <row r="33" spans="1:18" ht="15.75">
      <c r="A33" s="63" t="s">
        <v>243</v>
      </c>
      <c r="B33" s="88">
        <v>2851</v>
      </c>
      <c r="C33" s="100">
        <v>2917</v>
      </c>
      <c r="D33" s="66">
        <f>C33/B33-1</f>
        <v>2.3149772009821046E-2</v>
      </c>
      <c r="E33" s="41"/>
      <c r="F33" s="41"/>
      <c r="G33" s="78"/>
      <c r="H33" s="79"/>
      <c r="I33" s="62"/>
    </row>
    <row r="34" spans="1:18" ht="15.75">
      <c r="A34" s="101" t="s">
        <v>197</v>
      </c>
      <c r="B34" s="102">
        <v>200</v>
      </c>
      <c r="C34" s="103">
        <v>200</v>
      </c>
      <c r="D34" s="104">
        <f>C34/B34-1</f>
        <v>0</v>
      </c>
      <c r="E34" s="41">
        <f>B29+B33</f>
        <v>8375</v>
      </c>
      <c r="F34" s="41">
        <f>C29+C33</f>
        <v>8621</v>
      </c>
      <c r="G34" s="105">
        <f>(F34-E34)/E34</f>
        <v>2.9373134328358207E-2</v>
      </c>
      <c r="H34" s="106">
        <f>F34-E34</f>
        <v>246</v>
      </c>
      <c r="I34" s="62"/>
    </row>
    <row r="35" spans="1:18" ht="15.75">
      <c r="A35" s="75"/>
      <c r="B35" s="94"/>
      <c r="C35" s="77"/>
      <c r="D35" s="56"/>
      <c r="E35" s="41"/>
      <c r="F35" s="41"/>
      <c r="G35" s="95"/>
      <c r="H35" s="79"/>
      <c r="I35" s="62"/>
    </row>
    <row r="36" spans="1:18" ht="15.75">
      <c r="A36" s="96" t="s">
        <v>73</v>
      </c>
      <c r="B36" s="76"/>
      <c r="C36" s="107"/>
      <c r="D36" s="56"/>
      <c r="E36" s="41"/>
      <c r="F36" s="41"/>
      <c r="G36" s="95"/>
      <c r="H36" s="79"/>
      <c r="I36" s="62"/>
    </row>
    <row r="37" spans="1:18" ht="15.75">
      <c r="A37" s="75" t="s">
        <v>142</v>
      </c>
      <c r="B37" s="94">
        <v>1695</v>
      </c>
      <c r="C37" s="77">
        <v>1695</v>
      </c>
      <c r="D37" s="56">
        <f>C37/B37-1</f>
        <v>0</v>
      </c>
      <c r="E37" s="41"/>
      <c r="F37" s="41"/>
      <c r="G37" s="95"/>
      <c r="H37" s="79"/>
      <c r="I37" s="62"/>
    </row>
    <row r="38" spans="1:18" ht="15.75">
      <c r="A38" s="75" t="s">
        <v>72</v>
      </c>
      <c r="B38" s="94"/>
      <c r="C38" s="77"/>
      <c r="D38" s="56">
        <v>0</v>
      </c>
      <c r="E38" s="41"/>
      <c r="F38" s="41"/>
      <c r="G38" s="95"/>
      <c r="H38" s="79"/>
      <c r="I38" s="62"/>
    </row>
    <row r="39" spans="1:18" ht="15.75">
      <c r="A39" s="80"/>
      <c r="B39" s="54"/>
      <c r="C39" s="41"/>
      <c r="D39" s="56"/>
      <c r="E39" s="41"/>
      <c r="F39" s="41"/>
      <c r="G39" s="78"/>
      <c r="H39" s="79"/>
      <c r="I39" s="62"/>
    </row>
    <row r="40" spans="1:18" ht="15.75">
      <c r="A40" s="52" t="s">
        <v>6</v>
      </c>
      <c r="B40" s="54"/>
      <c r="C40" s="41"/>
      <c r="D40" s="56"/>
      <c r="E40" s="41"/>
      <c r="F40" s="41"/>
      <c r="G40" s="78"/>
      <c r="H40" s="79"/>
      <c r="I40" s="62"/>
      <c r="N40" s="108" t="s">
        <v>48</v>
      </c>
      <c r="O40" s="108"/>
      <c r="P40" s="108"/>
      <c r="Q40" s="108"/>
    </row>
    <row r="41" spans="1:18" ht="16.5" thickBot="1">
      <c r="A41" s="80" t="s">
        <v>4</v>
      </c>
      <c r="B41" s="54">
        <v>5314</v>
      </c>
      <c r="C41" s="55">
        <v>5526</v>
      </c>
      <c r="D41" s="56">
        <f>C41/B41-1</f>
        <v>3.9894617990214432E-2</v>
      </c>
      <c r="E41" s="41"/>
      <c r="F41" s="41"/>
      <c r="G41" s="78"/>
      <c r="H41" s="79"/>
      <c r="I41" s="62"/>
      <c r="N41" s="109" t="s">
        <v>46</v>
      </c>
      <c r="O41" s="110"/>
      <c r="P41" s="110" t="s">
        <v>47</v>
      </c>
      <c r="Q41" s="110"/>
    </row>
    <row r="42" spans="1:18" ht="15.75">
      <c r="A42" s="34" t="s">
        <v>5</v>
      </c>
      <c r="B42" s="54">
        <v>6320</v>
      </c>
      <c r="C42" s="55">
        <v>6572</v>
      </c>
      <c r="D42" s="56">
        <f>C42/B42-1</f>
        <v>3.9873417721518978E-2</v>
      </c>
      <c r="E42" s="41"/>
      <c r="F42" s="41"/>
      <c r="G42" s="78"/>
      <c r="H42" s="79"/>
      <c r="I42" s="62"/>
      <c r="M42" s="111"/>
      <c r="N42" s="112">
        <f>3006+318+1256+220</f>
        <v>4800</v>
      </c>
      <c r="O42" s="112">
        <f>+N42/2</f>
        <v>2400</v>
      </c>
      <c r="P42" s="113" t="s">
        <v>158</v>
      </c>
      <c r="Q42" s="113"/>
      <c r="R42" s="114"/>
    </row>
    <row r="43" spans="1:18" ht="15.75">
      <c r="A43" s="34"/>
      <c r="B43" s="102"/>
      <c r="C43" s="41"/>
      <c r="D43" s="99"/>
      <c r="E43" s="41"/>
      <c r="F43" s="41"/>
      <c r="G43" s="78"/>
      <c r="H43" s="79"/>
      <c r="I43" s="62"/>
      <c r="L43" s="62"/>
      <c r="M43" s="115"/>
      <c r="N43" s="116"/>
      <c r="O43" s="116"/>
      <c r="P43" s="117"/>
      <c r="Q43" s="117"/>
      <c r="R43" s="118"/>
    </row>
    <row r="44" spans="1:18" ht="15.75">
      <c r="A44" s="63" t="s">
        <v>244</v>
      </c>
      <c r="B44" s="88">
        <v>3244</v>
      </c>
      <c r="C44" s="100">
        <v>3300</v>
      </c>
      <c r="D44" s="66">
        <f>C44/B44-1</f>
        <v>1.726263871763245E-2</v>
      </c>
      <c r="E44" s="41"/>
      <c r="F44" s="41"/>
      <c r="G44" s="78"/>
      <c r="H44" s="79"/>
      <c r="I44" s="62"/>
      <c r="L44" s="62"/>
      <c r="M44" s="115">
        <v>3637</v>
      </c>
      <c r="N44" s="116" t="e">
        <f>3637+#REF!+#REF!+#REF!</f>
        <v>#REF!</v>
      </c>
      <c r="O44" s="116" t="e">
        <f>+N44/2</f>
        <v>#REF!</v>
      </c>
      <c r="P44" s="117" t="s">
        <v>44</v>
      </c>
      <c r="Q44" s="117"/>
      <c r="R44" s="118"/>
    </row>
    <row r="45" spans="1:18" ht="16.5" thickBot="1">
      <c r="A45" s="101" t="s">
        <v>197</v>
      </c>
      <c r="B45" s="102">
        <v>400</v>
      </c>
      <c r="C45" s="103">
        <v>400</v>
      </c>
      <c r="D45" s="104">
        <f>C45/B45-1</f>
        <v>0</v>
      </c>
      <c r="E45" s="41">
        <f>B41+B44</f>
        <v>8558</v>
      </c>
      <c r="F45" s="41">
        <f>C41+C44</f>
        <v>8826</v>
      </c>
      <c r="G45" s="105">
        <f>(F45-E45)/E45</f>
        <v>3.1315727973825661E-2</v>
      </c>
      <c r="H45" s="106">
        <f>F45-E45</f>
        <v>268</v>
      </c>
      <c r="I45" s="62"/>
      <c r="M45" s="119"/>
      <c r="N45" s="120"/>
      <c r="O45" s="121">
        <f>2344+392</f>
        <v>2736</v>
      </c>
      <c r="P45" s="121" t="s">
        <v>45</v>
      </c>
      <c r="Q45" s="121"/>
      <c r="R45" s="122"/>
    </row>
    <row r="46" spans="1:18" ht="15.75">
      <c r="A46" s="75"/>
      <c r="B46" s="94"/>
      <c r="C46" s="77"/>
      <c r="D46" s="56"/>
      <c r="E46" s="41"/>
      <c r="F46" s="41"/>
      <c r="G46" s="95"/>
      <c r="H46" s="79"/>
      <c r="I46" s="62"/>
      <c r="M46" s="117"/>
      <c r="N46" s="116"/>
      <c r="O46" s="117"/>
      <c r="P46" s="117"/>
      <c r="Q46" s="117"/>
      <c r="R46" s="117"/>
    </row>
    <row r="47" spans="1:18" ht="15.75">
      <c r="A47" s="75" t="s">
        <v>73</v>
      </c>
      <c r="B47" s="94"/>
      <c r="C47" s="77"/>
      <c r="D47" s="56"/>
      <c r="E47" s="41"/>
      <c r="F47" s="41"/>
      <c r="G47" s="95"/>
      <c r="H47" s="79"/>
      <c r="I47" s="62"/>
      <c r="M47" s="117"/>
      <c r="N47" s="116"/>
      <c r="O47" s="117"/>
      <c r="P47" s="117"/>
      <c r="Q47" s="117"/>
      <c r="R47" s="117"/>
    </row>
    <row r="48" spans="1:18" ht="16.5" thickBot="1">
      <c r="A48" s="34" t="s">
        <v>74</v>
      </c>
      <c r="B48" s="76">
        <v>80</v>
      </c>
      <c r="C48" s="77">
        <v>85</v>
      </c>
      <c r="D48" s="56">
        <f>C48/B48-1</f>
        <v>6.25E-2</v>
      </c>
      <c r="E48" s="41"/>
      <c r="F48" s="41"/>
      <c r="G48" s="95"/>
      <c r="H48" s="79"/>
      <c r="I48" s="62"/>
      <c r="M48" s="117"/>
      <c r="N48" s="116"/>
      <c r="O48" s="117"/>
      <c r="P48" s="117"/>
      <c r="Q48" s="117"/>
      <c r="R48" s="117"/>
    </row>
    <row r="49" spans="1:15" ht="15.75">
      <c r="A49" s="34" t="s">
        <v>75</v>
      </c>
      <c r="B49" s="61">
        <v>110</v>
      </c>
      <c r="C49" s="41">
        <v>115</v>
      </c>
      <c r="D49" s="56">
        <f>C49/B49-1</f>
        <v>4.5454545454545414E-2</v>
      </c>
      <c r="E49" s="41"/>
      <c r="F49" s="41"/>
      <c r="G49" s="78"/>
      <c r="H49" s="79"/>
      <c r="I49" s="62"/>
      <c r="N49" s="111"/>
      <c r="O49" s="114"/>
    </row>
    <row r="50" spans="1:15" ht="15.75">
      <c r="A50" s="80"/>
      <c r="B50" s="54"/>
      <c r="C50" s="41"/>
      <c r="D50" s="56"/>
      <c r="E50" s="41"/>
      <c r="F50" s="41"/>
      <c r="G50" s="78"/>
      <c r="H50" s="79"/>
      <c r="I50" s="62"/>
      <c r="N50" s="115"/>
      <c r="O50" s="118"/>
    </row>
    <row r="51" spans="1:15" ht="15.75">
      <c r="A51" s="123" t="s">
        <v>53</v>
      </c>
      <c r="B51" s="54"/>
      <c r="C51" s="41"/>
      <c r="D51" s="56"/>
      <c r="E51" s="41"/>
      <c r="F51" s="41"/>
      <c r="G51" s="78"/>
      <c r="H51" s="79"/>
      <c r="I51" s="62"/>
      <c r="N51" s="124" t="e">
        <f>+#REF!+#REF!+#REF!+#REF!</f>
        <v>#REF!</v>
      </c>
      <c r="O51" s="118" t="e">
        <f>+N51/2</f>
        <v>#REF!</v>
      </c>
    </row>
    <row r="52" spans="1:15" ht="16.5" thickBot="1">
      <c r="A52" s="80" t="s">
        <v>4</v>
      </c>
      <c r="B52" s="54">
        <v>4918</v>
      </c>
      <c r="C52" s="55">
        <v>5066</v>
      </c>
      <c r="D52" s="56">
        <f>C52/B52-1</f>
        <v>3.009353395689307E-2</v>
      </c>
      <c r="E52" s="41"/>
      <c r="F52" s="41"/>
      <c r="G52" s="78"/>
      <c r="H52" s="79"/>
      <c r="I52" s="62"/>
      <c r="N52" s="125" t="e">
        <f>+#REF!+#REF!+#REF!+#REF!</f>
        <v>#REF!</v>
      </c>
      <c r="O52" s="122" t="e">
        <f>+N52/2</f>
        <v>#REF!</v>
      </c>
    </row>
    <row r="53" spans="1:15" ht="15.75">
      <c r="A53" s="34" t="s">
        <v>5</v>
      </c>
      <c r="B53" s="54">
        <v>6385</v>
      </c>
      <c r="C53" s="55">
        <v>6578</v>
      </c>
      <c r="D53" s="56">
        <f>C53/B53-1</f>
        <v>3.0227094753328076E-2</v>
      </c>
      <c r="E53" s="41"/>
      <c r="F53" s="41"/>
      <c r="G53" s="78"/>
      <c r="H53" s="79"/>
      <c r="I53" s="62"/>
    </row>
    <row r="54" spans="1:15" ht="15.75">
      <c r="A54" s="34"/>
      <c r="B54" s="54"/>
      <c r="C54" s="55"/>
      <c r="D54" s="99"/>
      <c r="E54" s="41"/>
      <c r="F54" s="41"/>
      <c r="G54" s="78"/>
      <c r="H54" s="79"/>
      <c r="I54" s="62"/>
    </row>
    <row r="55" spans="1:15" ht="15.75">
      <c r="A55" s="87" t="s">
        <v>245</v>
      </c>
      <c r="B55" s="88">
        <v>3052</v>
      </c>
      <c r="C55" s="65">
        <v>3120</v>
      </c>
      <c r="D55" s="66">
        <f>C55/B55-1</f>
        <v>2.2280471821756187E-2</v>
      </c>
      <c r="E55" s="41"/>
      <c r="F55" s="41"/>
      <c r="G55" s="78"/>
      <c r="H55" s="79"/>
      <c r="I55" s="62"/>
    </row>
    <row r="56" spans="1:15" ht="15.75">
      <c r="A56" s="101" t="s">
        <v>197</v>
      </c>
      <c r="B56" s="102">
        <v>400</v>
      </c>
      <c r="C56" s="69">
        <v>800</v>
      </c>
      <c r="D56" s="104">
        <f>C56/B56-1</f>
        <v>1</v>
      </c>
      <c r="E56" s="41">
        <f>B52+B55</f>
        <v>7970</v>
      </c>
      <c r="F56" s="41">
        <f>C52+C55</f>
        <v>8186</v>
      </c>
      <c r="G56" s="105">
        <f>(F56-E56)/E56</f>
        <v>2.7101631116687577E-2</v>
      </c>
      <c r="H56" s="106">
        <f>F56-E56</f>
        <v>216</v>
      </c>
      <c r="I56" s="62"/>
    </row>
    <row r="57" spans="1:15" ht="15.75">
      <c r="A57" s="75"/>
      <c r="B57" s="94"/>
      <c r="C57" s="77"/>
      <c r="D57" s="56"/>
      <c r="E57" s="41"/>
      <c r="F57" s="41"/>
      <c r="G57" s="95"/>
      <c r="H57" s="79"/>
      <c r="I57" s="62"/>
    </row>
    <row r="58" spans="1:15" ht="15.75">
      <c r="A58" s="75" t="s">
        <v>69</v>
      </c>
      <c r="B58" s="126">
        <v>1464</v>
      </c>
      <c r="C58" s="127">
        <v>1464</v>
      </c>
      <c r="D58" s="56">
        <f>C58/B58-1</f>
        <v>0</v>
      </c>
      <c r="E58" s="41"/>
      <c r="F58" s="41"/>
      <c r="G58" s="95"/>
      <c r="H58" s="79"/>
      <c r="I58" s="62"/>
    </row>
    <row r="59" spans="1:15" ht="15.75">
      <c r="A59" s="128"/>
      <c r="B59" s="126"/>
      <c r="C59" s="127"/>
      <c r="D59" s="56"/>
      <c r="E59" s="41"/>
      <c r="F59" s="41"/>
      <c r="G59" s="95"/>
      <c r="H59" s="79"/>
      <c r="I59" s="62"/>
    </row>
    <row r="60" spans="1:15" ht="15.75">
      <c r="A60" s="129" t="s">
        <v>225</v>
      </c>
      <c r="B60" s="126"/>
      <c r="C60" s="127"/>
      <c r="D60" s="56"/>
      <c r="E60" s="41"/>
      <c r="F60" s="41"/>
      <c r="G60" s="95"/>
      <c r="H60" s="79"/>
      <c r="I60" s="62"/>
    </row>
    <row r="61" spans="1:15" ht="15.75">
      <c r="A61" s="80" t="s">
        <v>61</v>
      </c>
      <c r="B61" s="54">
        <v>4100</v>
      </c>
      <c r="C61" s="84">
        <v>4200</v>
      </c>
      <c r="D61" s="130">
        <f>SUM(C61-B61)/B61</f>
        <v>2.4390243902439025E-2</v>
      </c>
      <c r="E61" s="131">
        <f>B61+B64</f>
        <v>6010</v>
      </c>
      <c r="F61" s="131">
        <f>C61+C64</f>
        <v>6160</v>
      </c>
      <c r="G61" s="56">
        <f>F61/E61-1</f>
        <v>2.4958402662229595E-2</v>
      </c>
      <c r="H61" s="106">
        <f>F61-E61</f>
        <v>150</v>
      </c>
      <c r="I61" s="62"/>
    </row>
    <row r="62" spans="1:15" ht="15.75">
      <c r="A62" s="80" t="s">
        <v>62</v>
      </c>
      <c r="B62" s="54">
        <v>5100</v>
      </c>
      <c r="C62" s="84">
        <v>5700</v>
      </c>
      <c r="D62" s="130">
        <f>SUM(C62-B62)/B62</f>
        <v>0.11764705882352941</v>
      </c>
      <c r="E62" s="34"/>
      <c r="F62" s="34"/>
      <c r="G62" s="34"/>
      <c r="H62" s="79"/>
      <c r="I62" s="62"/>
    </row>
    <row r="63" spans="1:15" ht="15.75">
      <c r="A63" s="80"/>
      <c r="B63" s="54"/>
      <c r="C63" s="54"/>
      <c r="D63" s="130"/>
      <c r="E63" s="34"/>
      <c r="F63" s="34"/>
      <c r="G63" s="34"/>
      <c r="H63" s="79"/>
      <c r="I63" s="62"/>
    </row>
    <row r="64" spans="1:15" ht="15.75">
      <c r="A64" s="63" t="s">
        <v>121</v>
      </c>
      <c r="B64" s="88">
        <v>1910</v>
      </c>
      <c r="C64" s="65">
        <f>980*2</f>
        <v>1960</v>
      </c>
      <c r="D64" s="132">
        <f>SUM(C64-B64)/B64</f>
        <v>2.6178010471204188E-2</v>
      </c>
      <c r="E64" s="41"/>
      <c r="F64" s="41"/>
      <c r="G64" s="78"/>
      <c r="H64" s="79"/>
      <c r="I64" s="62"/>
    </row>
    <row r="65" spans="1:11" ht="15.75">
      <c r="A65" s="101" t="s">
        <v>183</v>
      </c>
      <c r="B65" s="102">
        <v>2090</v>
      </c>
      <c r="C65" s="69">
        <f>1070*2</f>
        <v>2140</v>
      </c>
      <c r="D65" s="133">
        <f>SUM(C65-B65)/B65</f>
        <v>2.3923444976076555E-2</v>
      </c>
      <c r="E65" s="41"/>
      <c r="F65" s="41"/>
      <c r="G65" s="78"/>
      <c r="H65" s="79"/>
      <c r="I65" s="62"/>
    </row>
    <row r="66" spans="1:11" ht="15.75">
      <c r="A66" s="80"/>
      <c r="B66" s="54"/>
      <c r="C66" s="41"/>
      <c r="D66" s="56"/>
      <c r="E66" s="41"/>
      <c r="F66" s="41"/>
      <c r="G66" s="78"/>
      <c r="H66" s="79"/>
      <c r="I66" s="62"/>
    </row>
    <row r="67" spans="1:11" ht="15.75">
      <c r="A67" s="123" t="s">
        <v>7</v>
      </c>
      <c r="B67" s="54"/>
      <c r="C67" s="41"/>
      <c r="D67" s="56"/>
      <c r="E67" s="41"/>
      <c r="F67" s="41"/>
      <c r="G67" s="78"/>
      <c r="H67" s="79"/>
      <c r="I67" s="74"/>
      <c r="J67" s="59"/>
      <c r="K67" s="59"/>
    </row>
    <row r="68" spans="1:11" ht="15.75">
      <c r="A68" s="80" t="s">
        <v>255</v>
      </c>
      <c r="B68" s="54">
        <v>5568</v>
      </c>
      <c r="C68" s="55">
        <v>5750</v>
      </c>
      <c r="D68" s="56">
        <f>C68/B68-1</f>
        <v>3.2686781609195359E-2</v>
      </c>
      <c r="E68" s="41"/>
      <c r="F68" s="41"/>
      <c r="G68" s="78"/>
      <c r="H68" s="79"/>
      <c r="I68" s="74"/>
      <c r="J68" s="59"/>
      <c r="K68" s="59"/>
    </row>
    <row r="69" spans="1:11" ht="15.75">
      <c r="A69" s="34" t="s">
        <v>5</v>
      </c>
      <c r="B69" s="54">
        <v>6482</v>
      </c>
      <c r="C69" s="55">
        <v>6500</v>
      </c>
      <c r="D69" s="56">
        <f>C69/B69-1</f>
        <v>2.7769207034866739E-3</v>
      </c>
      <c r="E69" s="41"/>
      <c r="F69" s="41"/>
      <c r="G69" s="78"/>
      <c r="H69" s="79"/>
      <c r="I69" s="74"/>
      <c r="J69" s="59"/>
      <c r="K69" s="59"/>
    </row>
    <row r="70" spans="1:11" ht="15.75">
      <c r="A70" s="34"/>
      <c r="B70" s="54"/>
      <c r="C70" s="55"/>
      <c r="D70" s="99"/>
      <c r="E70" s="41"/>
      <c r="F70" s="41"/>
      <c r="G70" s="78"/>
      <c r="H70" s="79"/>
      <c r="I70" s="62"/>
    </row>
    <row r="71" spans="1:11" ht="15.75">
      <c r="A71" s="63" t="s">
        <v>246</v>
      </c>
      <c r="B71" s="88">
        <v>2378</v>
      </c>
      <c r="C71" s="100">
        <v>2878</v>
      </c>
      <c r="D71" s="66">
        <f>C71/B71-1</f>
        <v>0.21026072329688805</v>
      </c>
      <c r="E71" s="41"/>
      <c r="F71" s="41"/>
      <c r="G71" s="78"/>
      <c r="H71" s="79"/>
    </row>
    <row r="72" spans="1:11" ht="15.75">
      <c r="A72" s="101" t="s">
        <v>198</v>
      </c>
      <c r="B72" s="102">
        <v>380</v>
      </c>
      <c r="C72" s="103">
        <v>400</v>
      </c>
      <c r="D72" s="104">
        <f>C72/B72-1</f>
        <v>5.2631578947368363E-2</v>
      </c>
      <c r="E72" s="41">
        <f>B68+B71</f>
        <v>7946</v>
      </c>
      <c r="F72" s="41">
        <f>C68+C71</f>
        <v>8628</v>
      </c>
      <c r="G72" s="105">
        <f>(F72-E72)/E72</f>
        <v>8.5829348099672798E-2</v>
      </c>
      <c r="H72" s="106">
        <f>F72-E72</f>
        <v>682</v>
      </c>
      <c r="I72" s="62"/>
    </row>
    <row r="73" spans="1:11" ht="15.75">
      <c r="A73" s="117" t="s">
        <v>256</v>
      </c>
      <c r="B73" s="94"/>
      <c r="C73" s="77"/>
      <c r="D73" s="56"/>
      <c r="E73" s="41"/>
      <c r="F73" s="41"/>
      <c r="G73" s="34"/>
      <c r="H73" s="134"/>
      <c r="I73" s="62"/>
    </row>
    <row r="74" spans="1:11" ht="15.75">
      <c r="A74" s="34" t="s">
        <v>240</v>
      </c>
      <c r="B74" s="61">
        <v>12</v>
      </c>
      <c r="C74" s="41">
        <v>500</v>
      </c>
      <c r="D74" s="56"/>
      <c r="E74" s="34"/>
      <c r="F74" s="34"/>
      <c r="G74" s="34"/>
      <c r="H74" s="79"/>
    </row>
    <row r="75" spans="1:11" ht="15.75">
      <c r="A75" s="62" t="s">
        <v>239</v>
      </c>
      <c r="B75" s="61"/>
      <c r="C75" s="41"/>
      <c r="D75" s="56"/>
      <c r="E75" s="34"/>
      <c r="F75" s="34"/>
      <c r="G75" s="34"/>
      <c r="H75" s="79"/>
      <c r="I75" s="62"/>
    </row>
    <row r="76" spans="1:11" ht="15.75">
      <c r="A76" s="62"/>
      <c r="B76" s="61"/>
      <c r="C76" s="41"/>
      <c r="D76" s="56"/>
      <c r="E76" s="34"/>
      <c r="F76" s="34"/>
      <c r="G76" s="34"/>
      <c r="H76" s="79"/>
      <c r="I76" s="62"/>
    </row>
    <row r="77" spans="1:11" ht="15.75">
      <c r="A77" s="35" t="s">
        <v>37</v>
      </c>
      <c r="B77" s="41"/>
      <c r="C77" s="41"/>
      <c r="D77" s="34"/>
      <c r="E77" s="84">
        <f>AVERAGE(E72,E56,E45,E34,E21,E12)</f>
        <v>8215.6666666666661</v>
      </c>
      <c r="F77" s="84">
        <f>AVERAGE(F72,F56,F45,F34,F21,F12)</f>
        <v>8533.5</v>
      </c>
      <c r="G77" s="135">
        <f>F77/E77-1</f>
        <v>3.8686249847851739E-2</v>
      </c>
      <c r="H77" s="136">
        <f>F77-E77</f>
        <v>317.83333333333394</v>
      </c>
      <c r="I77" s="62"/>
    </row>
    <row r="78" spans="1:11" ht="15.75">
      <c r="A78" s="35"/>
      <c r="B78" s="41"/>
      <c r="C78" s="41"/>
      <c r="D78" s="34"/>
      <c r="E78" s="84"/>
      <c r="F78" s="84"/>
      <c r="G78" s="135"/>
      <c r="H78" s="136"/>
      <c r="I78" s="62"/>
    </row>
    <row r="79" spans="1:11" ht="15.75">
      <c r="A79" s="34"/>
      <c r="B79" s="137"/>
      <c r="C79" s="41"/>
      <c r="D79" s="34"/>
      <c r="E79" s="34"/>
      <c r="F79" s="34"/>
      <c r="G79" s="34"/>
      <c r="H79" s="43"/>
    </row>
    <row r="80" spans="1:11" ht="15.75" customHeight="1">
      <c r="A80" s="251"/>
      <c r="B80" s="251"/>
      <c r="C80" s="251"/>
      <c r="D80" s="251"/>
      <c r="E80" s="34"/>
      <c r="F80" s="34"/>
      <c r="G80" s="34"/>
      <c r="H80" s="43"/>
    </row>
    <row r="81" spans="1:8" ht="15.75">
      <c r="A81" s="34"/>
      <c r="B81" s="41"/>
      <c r="C81" s="41"/>
      <c r="D81" s="34"/>
      <c r="E81" s="34"/>
      <c r="F81" s="34" t="s">
        <v>210</v>
      </c>
      <c r="G81" s="56">
        <f>MAX(G10:G72)</f>
        <v>8.5829348099672798E-2</v>
      </c>
      <c r="H81" s="138">
        <f>MAX(H8:H72)</f>
        <v>682</v>
      </c>
    </row>
    <row r="82" spans="1:8" ht="15.75">
      <c r="A82" s="34"/>
      <c r="B82" s="41"/>
      <c r="C82" s="41"/>
      <c r="D82" s="34"/>
      <c r="E82" s="34"/>
      <c r="F82" s="34" t="s">
        <v>211</v>
      </c>
      <c r="G82" s="130">
        <f>MIN(G9:G72)</f>
        <v>2.4958402662229595E-2</v>
      </c>
      <c r="H82" s="138">
        <f>MIN(H8:H72)</f>
        <v>150</v>
      </c>
    </row>
    <row r="83" spans="1:8" ht="68.25" customHeight="1">
      <c r="A83" s="251" t="s">
        <v>157</v>
      </c>
      <c r="B83" s="251"/>
      <c r="C83" s="251"/>
      <c r="D83" s="251"/>
    </row>
    <row r="84" spans="1:8" ht="15.75" hidden="1">
      <c r="A84" s="34" t="s">
        <v>89</v>
      </c>
      <c r="B84" s="34"/>
      <c r="C84" s="41"/>
      <c r="D84" s="41"/>
    </row>
    <row r="85" spans="1:8" hidden="1"/>
    <row r="86" spans="1:8" hidden="1"/>
    <row r="87" spans="1:8" hidden="1"/>
    <row r="88" spans="1:8" s="59" customFormat="1" hidden="1">
      <c r="A88" s="37"/>
      <c r="B88" s="42"/>
      <c r="C88" s="42"/>
      <c r="D88" s="37"/>
      <c r="E88" s="37"/>
      <c r="F88" s="37"/>
      <c r="G88" s="37"/>
      <c r="H88" s="40"/>
    </row>
    <row r="89" spans="1:8" hidden="1"/>
    <row r="90" spans="1:8" hidden="1">
      <c r="A90" s="74"/>
      <c r="B90" s="39"/>
      <c r="C90" s="39"/>
      <c r="D90" s="59"/>
      <c r="E90" s="59"/>
      <c r="F90" s="59"/>
      <c r="G90" s="59"/>
      <c r="H90" s="139"/>
    </row>
    <row r="91" spans="1:8" hidden="1"/>
    <row r="92" spans="1:8" hidden="1"/>
    <row r="93" spans="1:8" hidden="1"/>
    <row r="94" spans="1:8" hidden="1"/>
    <row r="95" spans="1:8" hidden="1"/>
    <row r="96" spans="1:8" hidden="1"/>
    <row r="97" spans="1:2" ht="15.75">
      <c r="A97" s="34"/>
      <c r="B97" s="34"/>
    </row>
    <row r="98" spans="1:2">
      <c r="A98" s="37" t="s">
        <v>226</v>
      </c>
    </row>
    <row r="99" spans="1:2">
      <c r="A99" s="62" t="s">
        <v>238</v>
      </c>
    </row>
  </sheetData>
  <mergeCells count="2">
    <mergeCell ref="A80:D80"/>
    <mergeCell ref="A83:D83"/>
  </mergeCells>
  <phoneticPr fontId="6" type="noConversion"/>
  <printOptions horizontalCentered="1"/>
  <pageMargins left="0.25" right="0.25" top="0.75" bottom="0.75" header="0.3" footer="0.3"/>
  <pageSetup scale="88" fitToHeight="0" orientation="portrait" r:id="rId1"/>
  <headerFooter alignWithMargins="0">
    <oddHeader>&amp;R&amp;"-,Regular"&amp;12Attachment 2A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V48"/>
  <sheetViews>
    <sheetView zoomScale="75" zoomScaleNormal="75" workbookViewId="0">
      <selection activeCell="L16" sqref="L16"/>
    </sheetView>
  </sheetViews>
  <sheetFormatPr defaultColWidth="8" defaultRowHeight="11.25"/>
  <cols>
    <col min="1" max="1" width="11.5703125" style="2" customWidth="1"/>
    <col min="2" max="2" width="10.7109375" style="2" customWidth="1"/>
    <col min="3" max="3" width="4.7109375" style="2" customWidth="1"/>
    <col min="4" max="4" width="10.7109375" style="2" customWidth="1"/>
    <col min="5" max="5" width="4.7109375" style="2" customWidth="1"/>
    <col min="6" max="6" width="10.7109375" style="2" customWidth="1"/>
    <col min="7" max="7" width="4.7109375" style="2" customWidth="1"/>
    <col min="8" max="8" width="10.7109375" style="2" customWidth="1"/>
    <col min="9" max="9" width="4.7109375" style="2" customWidth="1"/>
    <col min="10" max="10" width="10.7109375" style="2" customWidth="1"/>
    <col min="11" max="11" width="4.7109375" style="2" customWidth="1"/>
    <col min="12" max="12" width="10.7109375" style="2" customWidth="1"/>
    <col min="13" max="13" width="4.7109375" style="2" customWidth="1"/>
    <col min="14" max="14" width="10.7109375" style="2" customWidth="1"/>
    <col min="15" max="15" width="4.7109375" style="2" customWidth="1"/>
    <col min="16" max="16384" width="8" style="2"/>
  </cols>
  <sheetData>
    <row r="1" spans="1:256" ht="15.75">
      <c r="A1" s="1" t="s">
        <v>16</v>
      </c>
      <c r="D1" s="3"/>
      <c r="E1" s="3"/>
      <c r="F1" s="4"/>
      <c r="G1" s="4"/>
      <c r="H1" s="4"/>
      <c r="I1" s="4"/>
      <c r="J1" s="4"/>
      <c r="K1" s="4"/>
      <c r="L1" s="5"/>
      <c r="M1" s="5"/>
      <c r="N1" s="5"/>
      <c r="P1" s="27"/>
      <c r="Q1" s="29"/>
    </row>
    <row r="2" spans="1:256" ht="12.75" customHeight="1">
      <c r="A2" s="6" t="s">
        <v>33</v>
      </c>
      <c r="B2" s="3"/>
      <c r="C2" s="3"/>
      <c r="D2" s="3"/>
      <c r="E2" s="3"/>
      <c r="F2" s="4"/>
      <c r="G2" s="4"/>
      <c r="H2" s="5"/>
      <c r="I2" s="5"/>
      <c r="J2" s="5"/>
      <c r="K2" s="5"/>
      <c r="L2" s="5"/>
      <c r="M2" s="5"/>
      <c r="N2" s="5"/>
    </row>
    <row r="3" spans="1:256" ht="12">
      <c r="A3" s="23">
        <v>0.03</v>
      </c>
      <c r="B3" s="7" t="s">
        <v>9</v>
      </c>
      <c r="C3" s="7"/>
      <c r="D3" s="7" t="s">
        <v>10</v>
      </c>
      <c r="E3" s="7"/>
      <c r="F3" s="7" t="s">
        <v>11</v>
      </c>
      <c r="G3" s="7"/>
      <c r="H3" s="7" t="s">
        <v>15</v>
      </c>
      <c r="I3" s="7"/>
      <c r="J3" s="7" t="s">
        <v>12</v>
      </c>
      <c r="K3" s="7"/>
      <c r="L3" s="7" t="s">
        <v>13</v>
      </c>
      <c r="M3" s="7"/>
      <c r="N3" s="7" t="s">
        <v>18</v>
      </c>
    </row>
    <row r="4" spans="1:256" ht="12">
      <c r="A4" s="8" t="s">
        <v>19</v>
      </c>
      <c r="B4" s="9">
        <f>+'Student Fees Att C-1'!B4</f>
        <v>99</v>
      </c>
      <c r="C4" s="10"/>
      <c r="D4" s="9">
        <f>+'Student Fees Att C-1'!D4</f>
        <v>99</v>
      </c>
      <c r="E4" s="10"/>
      <c r="F4" s="9">
        <f>+'Student Fees Att C-1'!F4</f>
        <v>99</v>
      </c>
      <c r="G4" s="10"/>
      <c r="H4" s="9">
        <f>+'Student Fees Att C-1'!H4</f>
        <v>99</v>
      </c>
      <c r="I4" s="9"/>
      <c r="J4" s="9">
        <f>+'Student Fees Att C-1'!J4</f>
        <v>99</v>
      </c>
      <c r="K4" s="10"/>
      <c r="L4" s="9">
        <f>+'Student Fees Att C-1'!L4</f>
        <v>99</v>
      </c>
      <c r="M4" s="10"/>
      <c r="N4" s="9">
        <f>+'Student Fees Att C-1'!N4</f>
        <v>594</v>
      </c>
      <c r="O4" s="10"/>
      <c r="P4" s="12"/>
      <c r="Q4" s="8"/>
      <c r="R4" s="13"/>
      <c r="S4" s="13"/>
      <c r="T4" s="12"/>
      <c r="U4" s="12"/>
      <c r="V4" s="12"/>
      <c r="W4" s="12"/>
      <c r="X4" s="12"/>
      <c r="Y4" s="8"/>
      <c r="Z4" s="13"/>
      <c r="AA4" s="13"/>
      <c r="AB4" s="12"/>
      <c r="AC4" s="12"/>
      <c r="AD4" s="12"/>
      <c r="AE4" s="12"/>
      <c r="AF4" s="12"/>
      <c r="AG4" s="8"/>
      <c r="AH4" s="13"/>
      <c r="AI4" s="13"/>
      <c r="AJ4" s="12"/>
      <c r="AK4" s="12"/>
      <c r="AL4" s="12"/>
      <c r="AM4" s="12"/>
      <c r="AN4" s="12"/>
      <c r="AO4" s="8"/>
      <c r="AP4" s="13"/>
      <c r="AQ4" s="13"/>
      <c r="AR4" s="12"/>
      <c r="AS4" s="12"/>
      <c r="AT4" s="12"/>
      <c r="AU4" s="12"/>
      <c r="AV4" s="12"/>
      <c r="AW4" s="8"/>
      <c r="AX4" s="13"/>
      <c r="AY4" s="13"/>
      <c r="AZ4" s="12"/>
      <c r="BA4" s="12"/>
      <c r="BB4" s="12"/>
      <c r="BC4" s="12"/>
      <c r="BD4" s="12"/>
      <c r="BE4" s="8"/>
      <c r="BF4" s="13"/>
      <c r="BG4" s="13"/>
      <c r="BH4" s="12"/>
      <c r="BI4" s="12"/>
      <c r="BJ4" s="12"/>
      <c r="BK4" s="12"/>
      <c r="BL4" s="12"/>
      <c r="BM4" s="8"/>
      <c r="BN4" s="13"/>
      <c r="BO4" s="13"/>
      <c r="BP4" s="12"/>
      <c r="BQ4" s="12"/>
      <c r="BR4" s="12"/>
      <c r="BS4" s="12"/>
      <c r="BT4" s="12"/>
      <c r="BU4" s="8"/>
      <c r="BV4" s="13"/>
      <c r="BW4" s="13"/>
      <c r="BX4" s="12"/>
      <c r="BY4" s="12"/>
      <c r="BZ4" s="12"/>
      <c r="CA4" s="12"/>
      <c r="CB4" s="12"/>
      <c r="CC4" s="8"/>
      <c r="CD4" s="13"/>
      <c r="CE4" s="13"/>
      <c r="CF4" s="12"/>
      <c r="CG4" s="12"/>
      <c r="CH4" s="12"/>
      <c r="CI4" s="12"/>
      <c r="CJ4" s="12"/>
      <c r="CK4" s="8"/>
      <c r="CL4" s="13"/>
      <c r="CM4" s="13"/>
      <c r="CN4" s="12"/>
      <c r="CO4" s="12"/>
      <c r="CP4" s="12"/>
      <c r="CQ4" s="12"/>
      <c r="CR4" s="12"/>
      <c r="CS4" s="8"/>
      <c r="CT4" s="13"/>
      <c r="CU4" s="13"/>
      <c r="CV4" s="12"/>
      <c r="CW4" s="12"/>
      <c r="CX4" s="12"/>
      <c r="CY4" s="12"/>
      <c r="CZ4" s="12"/>
      <c r="DA4" s="8"/>
      <c r="DB4" s="13"/>
      <c r="DC4" s="13"/>
      <c r="DD4" s="12"/>
      <c r="DE4" s="12"/>
      <c r="DF4" s="12"/>
      <c r="DG4" s="12"/>
      <c r="DH4" s="12"/>
      <c r="DI4" s="8"/>
      <c r="DJ4" s="13"/>
      <c r="DK4" s="13"/>
      <c r="DL4" s="12"/>
      <c r="DM4" s="12"/>
      <c r="DN4" s="12"/>
      <c r="DO4" s="12"/>
      <c r="DP4" s="12"/>
      <c r="DQ4" s="8"/>
      <c r="DR4" s="13"/>
      <c r="DS4" s="13"/>
      <c r="DT4" s="12"/>
      <c r="DU4" s="12"/>
      <c r="DV4" s="12"/>
      <c r="DW4" s="12"/>
      <c r="DX4" s="12"/>
      <c r="DY4" s="8"/>
      <c r="DZ4" s="13"/>
      <c r="EA4" s="13"/>
      <c r="EB4" s="12"/>
      <c r="EC4" s="12"/>
      <c r="ED4" s="12"/>
      <c r="EE4" s="12"/>
      <c r="EF4" s="12"/>
      <c r="EG4" s="8"/>
      <c r="EH4" s="13"/>
      <c r="EI4" s="13"/>
      <c r="EJ4" s="12"/>
      <c r="EK4" s="12"/>
      <c r="EL4" s="12"/>
      <c r="EM4" s="12"/>
      <c r="EN4" s="12"/>
      <c r="EO4" s="8"/>
      <c r="EP4" s="13"/>
      <c r="EQ4" s="13"/>
      <c r="ER4" s="12"/>
      <c r="ES4" s="12"/>
      <c r="ET4" s="12"/>
      <c r="EU4" s="12"/>
      <c r="EV4" s="12"/>
      <c r="EW4" s="8"/>
      <c r="EX4" s="13"/>
      <c r="EY4" s="13"/>
      <c r="EZ4" s="12"/>
      <c r="FA4" s="12"/>
      <c r="FB4" s="12"/>
      <c r="FC4" s="12"/>
      <c r="FD4" s="12"/>
      <c r="FE4" s="8"/>
      <c r="FF4" s="13"/>
      <c r="FG4" s="13"/>
      <c r="FH4" s="12"/>
      <c r="FI4" s="12"/>
      <c r="FJ4" s="12"/>
      <c r="FK4" s="12"/>
      <c r="FL4" s="12"/>
      <c r="FM4" s="8"/>
      <c r="FN4" s="13"/>
      <c r="FO4" s="13"/>
      <c r="FP4" s="12"/>
      <c r="FQ4" s="12"/>
      <c r="FR4" s="12"/>
      <c r="FS4" s="12"/>
      <c r="FT4" s="12"/>
      <c r="FU4" s="8"/>
      <c r="FV4" s="13"/>
      <c r="FW4" s="13"/>
      <c r="FX4" s="12"/>
      <c r="FY4" s="12"/>
      <c r="FZ4" s="12"/>
      <c r="GA4" s="12"/>
      <c r="GB4" s="12"/>
      <c r="GC4" s="8"/>
      <c r="GD4" s="13"/>
      <c r="GE4" s="13"/>
      <c r="GF4" s="12"/>
      <c r="GG4" s="12"/>
      <c r="GH4" s="12"/>
      <c r="GI4" s="12"/>
      <c r="GJ4" s="12"/>
      <c r="GK4" s="8"/>
      <c r="GL4" s="13"/>
      <c r="GM4" s="13"/>
      <c r="GN4" s="12"/>
      <c r="GO4" s="12"/>
      <c r="GP4" s="12"/>
      <c r="GQ4" s="12"/>
      <c r="GR4" s="12"/>
      <c r="GS4" s="8"/>
      <c r="GT4" s="13"/>
      <c r="GU4" s="13"/>
      <c r="GV4" s="12"/>
      <c r="GW4" s="12"/>
      <c r="GX4" s="12"/>
      <c r="GY4" s="12"/>
      <c r="GZ4" s="12"/>
      <c r="HA4" s="8"/>
      <c r="HB4" s="13"/>
      <c r="HC4" s="13"/>
      <c r="HD4" s="12"/>
      <c r="HE4" s="12"/>
      <c r="HF4" s="12"/>
      <c r="HG4" s="12"/>
      <c r="HH4" s="12"/>
      <c r="HI4" s="8"/>
      <c r="HJ4" s="13"/>
      <c r="HK4" s="13"/>
      <c r="HL4" s="12"/>
      <c r="HM4" s="12"/>
      <c r="HN4" s="12"/>
      <c r="HO4" s="12"/>
      <c r="HP4" s="12"/>
      <c r="HQ4" s="8"/>
      <c r="HR4" s="13"/>
      <c r="HS4" s="13"/>
      <c r="HT4" s="12"/>
      <c r="HU4" s="12"/>
      <c r="HV4" s="12"/>
      <c r="HW4" s="12"/>
      <c r="HX4" s="12"/>
      <c r="HY4" s="8"/>
      <c r="HZ4" s="13"/>
      <c r="IA4" s="13"/>
      <c r="IB4" s="12"/>
      <c r="IC4" s="12"/>
      <c r="ID4" s="12"/>
      <c r="IE4" s="12"/>
      <c r="IF4" s="12"/>
      <c r="IG4" s="8"/>
      <c r="IH4" s="13"/>
      <c r="II4" s="13"/>
      <c r="IJ4" s="12"/>
      <c r="IK4" s="12"/>
      <c r="IL4" s="12"/>
      <c r="IM4" s="12"/>
      <c r="IN4" s="12"/>
      <c r="IO4" s="8"/>
      <c r="IP4" s="13"/>
      <c r="IQ4" s="13"/>
      <c r="IR4" s="12"/>
      <c r="IS4" s="12"/>
      <c r="IT4" s="12"/>
      <c r="IU4" s="12"/>
      <c r="IV4" s="12"/>
    </row>
    <row r="5" spans="1:256" ht="12">
      <c r="A5" s="8" t="s">
        <v>32</v>
      </c>
      <c r="B5" s="16">
        <f>+'Student Fees Att C-1'!B5</f>
        <v>103.5</v>
      </c>
      <c r="C5" s="10">
        <f t="shared" ref="C5:C17" si="0">(+B5-B4)/B4</f>
        <v>4.5454545454545456E-2</v>
      </c>
      <c r="D5" s="16">
        <f>+'Student Fees Att C-1'!D5</f>
        <v>103.5</v>
      </c>
      <c r="E5" s="10">
        <f t="shared" ref="E5:E17" si="1">(+D5-D4)/D4</f>
        <v>4.5454545454545456E-2</v>
      </c>
      <c r="F5" s="16">
        <f>+'Student Fees Att C-1'!F5</f>
        <v>103.5</v>
      </c>
      <c r="G5" s="10">
        <f t="shared" ref="G5:G17" si="2">(+F5-F4)/F4</f>
        <v>4.5454545454545456E-2</v>
      </c>
      <c r="H5" s="16">
        <f>+'Student Fees Att C-1'!H5</f>
        <v>103.5</v>
      </c>
      <c r="I5" s="10">
        <f t="shared" ref="I5:I17" si="3">(+H5-H4)/H4</f>
        <v>4.5454545454545456E-2</v>
      </c>
      <c r="J5" s="16">
        <f>+'Student Fees Att C-1'!J5</f>
        <v>103.5</v>
      </c>
      <c r="K5" s="10">
        <f t="shared" ref="K5:K17" si="4">(+J5-J4)/J4</f>
        <v>4.5454545454545456E-2</v>
      </c>
      <c r="L5" s="16">
        <f>+'Student Fees Att C-1'!L5</f>
        <v>103.5</v>
      </c>
      <c r="M5" s="10">
        <f t="shared" ref="M5:M17" si="5">(+L5-L4)/L4</f>
        <v>4.5454545454545456E-2</v>
      </c>
      <c r="N5" s="16">
        <v>621</v>
      </c>
      <c r="O5" s="10">
        <f t="shared" ref="O5:O17" si="6">(+N5-N4)/N4</f>
        <v>4.5454545454545456E-2</v>
      </c>
      <c r="P5" s="12"/>
      <c r="Q5" s="15"/>
      <c r="R5" s="13"/>
      <c r="S5" s="13"/>
      <c r="T5" s="12"/>
      <c r="U5" s="12"/>
      <c r="V5" s="12"/>
      <c r="W5" s="12"/>
      <c r="X5" s="12"/>
      <c r="Y5" s="15"/>
      <c r="Z5" s="13"/>
      <c r="AA5" s="13"/>
      <c r="AB5" s="12"/>
      <c r="AC5" s="12"/>
      <c r="AD5" s="12"/>
      <c r="AE5" s="12"/>
      <c r="AF5" s="12"/>
      <c r="AG5" s="15"/>
      <c r="AH5" s="13"/>
      <c r="AI5" s="13"/>
      <c r="AJ5" s="12"/>
      <c r="AK5" s="12"/>
      <c r="AL5" s="12"/>
      <c r="AM5" s="12"/>
      <c r="AN5" s="12"/>
      <c r="AO5" s="15"/>
      <c r="AP5" s="13"/>
      <c r="AQ5" s="13"/>
      <c r="AR5" s="12"/>
      <c r="AS5" s="12"/>
      <c r="AT5" s="12"/>
      <c r="AU5" s="12"/>
      <c r="AV5" s="12"/>
      <c r="AW5" s="15"/>
      <c r="AX5" s="13"/>
      <c r="AY5" s="13"/>
      <c r="AZ5" s="12"/>
      <c r="BA5" s="12"/>
      <c r="BB5" s="12"/>
      <c r="BC5" s="12"/>
      <c r="BD5" s="12"/>
      <c r="BE5" s="15"/>
      <c r="BF5" s="13"/>
      <c r="BG5" s="13"/>
      <c r="BH5" s="12"/>
      <c r="BI5" s="12"/>
      <c r="BJ5" s="12"/>
      <c r="BK5" s="12"/>
      <c r="BL5" s="12"/>
      <c r="BM5" s="15"/>
      <c r="BN5" s="13"/>
      <c r="BO5" s="13"/>
      <c r="BP5" s="12"/>
      <c r="BQ5" s="12"/>
      <c r="BR5" s="12"/>
      <c r="BS5" s="12"/>
      <c r="BT5" s="12"/>
      <c r="BU5" s="15"/>
      <c r="BV5" s="13"/>
      <c r="BW5" s="13"/>
      <c r="BX5" s="12"/>
      <c r="BY5" s="12"/>
      <c r="BZ5" s="12"/>
      <c r="CA5" s="12"/>
      <c r="CB5" s="12"/>
      <c r="CC5" s="15"/>
      <c r="CD5" s="13"/>
      <c r="CE5" s="13"/>
      <c r="CF5" s="12"/>
      <c r="CG5" s="12"/>
      <c r="CH5" s="12"/>
      <c r="CI5" s="12"/>
      <c r="CJ5" s="12"/>
      <c r="CK5" s="15"/>
      <c r="CL5" s="13"/>
      <c r="CM5" s="13"/>
      <c r="CN5" s="12"/>
      <c r="CO5" s="12"/>
      <c r="CP5" s="12"/>
      <c r="CQ5" s="12"/>
      <c r="CR5" s="12"/>
      <c r="CS5" s="15"/>
      <c r="CT5" s="13"/>
      <c r="CU5" s="13"/>
      <c r="CV5" s="12"/>
      <c r="CW5" s="12"/>
      <c r="CX5" s="12"/>
      <c r="CY5" s="12"/>
      <c r="CZ5" s="12"/>
      <c r="DA5" s="15"/>
      <c r="DB5" s="13"/>
      <c r="DC5" s="13"/>
      <c r="DD5" s="12"/>
      <c r="DE5" s="12"/>
      <c r="DF5" s="12"/>
      <c r="DG5" s="12"/>
      <c r="DH5" s="12"/>
      <c r="DI5" s="15"/>
      <c r="DJ5" s="13"/>
      <c r="DK5" s="13"/>
      <c r="DL5" s="12"/>
      <c r="DM5" s="12"/>
      <c r="DN5" s="12"/>
      <c r="DO5" s="12"/>
      <c r="DP5" s="12"/>
      <c r="DQ5" s="15"/>
      <c r="DR5" s="13"/>
      <c r="DS5" s="13"/>
      <c r="DT5" s="12"/>
      <c r="DU5" s="12"/>
      <c r="DV5" s="12"/>
      <c r="DW5" s="12"/>
      <c r="DX5" s="12"/>
      <c r="DY5" s="15"/>
      <c r="DZ5" s="13"/>
      <c r="EA5" s="13"/>
      <c r="EB5" s="12"/>
      <c r="EC5" s="12"/>
      <c r="ED5" s="12"/>
      <c r="EE5" s="12"/>
      <c r="EF5" s="12"/>
      <c r="EG5" s="15"/>
      <c r="EH5" s="13"/>
      <c r="EI5" s="13"/>
      <c r="EJ5" s="12"/>
      <c r="EK5" s="12"/>
      <c r="EL5" s="12"/>
      <c r="EM5" s="12"/>
      <c r="EN5" s="12"/>
      <c r="EO5" s="15"/>
      <c r="EP5" s="13"/>
      <c r="EQ5" s="13"/>
      <c r="ER5" s="12"/>
      <c r="ES5" s="12"/>
      <c r="ET5" s="12"/>
      <c r="EU5" s="12"/>
      <c r="EV5" s="12"/>
      <c r="EW5" s="15"/>
      <c r="EX5" s="13"/>
      <c r="EY5" s="13"/>
      <c r="EZ5" s="12"/>
      <c r="FA5" s="12"/>
      <c r="FB5" s="12"/>
      <c r="FC5" s="12"/>
      <c r="FD5" s="12"/>
      <c r="FE5" s="15"/>
      <c r="FF5" s="13"/>
      <c r="FG5" s="13"/>
      <c r="FH5" s="12"/>
      <c r="FI5" s="12"/>
      <c r="FJ5" s="12"/>
      <c r="FK5" s="12"/>
      <c r="FL5" s="12"/>
      <c r="FM5" s="15"/>
      <c r="FN5" s="13"/>
      <c r="FO5" s="13"/>
      <c r="FP5" s="12"/>
      <c r="FQ5" s="12"/>
      <c r="FR5" s="12"/>
      <c r="FS5" s="12"/>
      <c r="FT5" s="12"/>
      <c r="FU5" s="15"/>
      <c r="FV5" s="13"/>
      <c r="FW5" s="13"/>
      <c r="FX5" s="12"/>
      <c r="FY5" s="12"/>
      <c r="FZ5" s="12"/>
      <c r="GA5" s="12"/>
      <c r="GB5" s="12"/>
      <c r="GC5" s="15"/>
      <c r="GD5" s="13"/>
      <c r="GE5" s="13"/>
      <c r="GF5" s="12"/>
      <c r="GG5" s="12"/>
      <c r="GH5" s="12"/>
      <c r="GI5" s="12"/>
      <c r="GJ5" s="12"/>
      <c r="GK5" s="15"/>
      <c r="GL5" s="13"/>
      <c r="GM5" s="13"/>
      <c r="GN5" s="12"/>
      <c r="GO5" s="12"/>
      <c r="GP5" s="12"/>
      <c r="GQ5" s="12"/>
      <c r="GR5" s="12"/>
      <c r="GS5" s="15"/>
      <c r="GT5" s="13"/>
      <c r="GU5" s="13"/>
      <c r="GV5" s="12"/>
      <c r="GW5" s="12"/>
      <c r="GX5" s="12"/>
      <c r="GY5" s="12"/>
      <c r="GZ5" s="12"/>
      <c r="HA5" s="15"/>
      <c r="HB5" s="13"/>
      <c r="HC5" s="13"/>
      <c r="HD5" s="12"/>
      <c r="HE5" s="12"/>
      <c r="HF5" s="12"/>
      <c r="HG5" s="12"/>
      <c r="HH5" s="12"/>
      <c r="HI5" s="15"/>
      <c r="HJ5" s="13"/>
      <c r="HK5" s="13"/>
      <c r="HL5" s="12"/>
      <c r="HM5" s="12"/>
      <c r="HN5" s="12"/>
      <c r="HO5" s="12"/>
      <c r="HP5" s="12"/>
      <c r="HQ5" s="15"/>
      <c r="HR5" s="13"/>
      <c r="HS5" s="13"/>
      <c r="HT5" s="12"/>
      <c r="HU5" s="12"/>
      <c r="HV5" s="12"/>
      <c r="HW5" s="12"/>
      <c r="HX5" s="12"/>
      <c r="HY5" s="15"/>
      <c r="HZ5" s="13"/>
      <c r="IA5" s="13"/>
      <c r="IB5" s="12"/>
      <c r="IC5" s="12"/>
      <c r="ID5" s="12"/>
      <c r="IE5" s="12"/>
      <c r="IF5" s="12"/>
      <c r="IG5" s="15"/>
      <c r="IH5" s="13"/>
      <c r="II5" s="13"/>
      <c r="IJ5" s="12"/>
      <c r="IK5" s="12"/>
      <c r="IL5" s="12"/>
      <c r="IM5" s="12"/>
      <c r="IN5" s="12"/>
      <c r="IO5" s="15"/>
      <c r="IP5" s="13"/>
      <c r="IQ5" s="13"/>
      <c r="IR5" s="12"/>
      <c r="IS5" s="12"/>
      <c r="IT5" s="12"/>
      <c r="IU5" s="12"/>
      <c r="IV5" s="12"/>
    </row>
    <row r="6" spans="1:256" ht="12">
      <c r="A6" s="8" t="s">
        <v>21</v>
      </c>
      <c r="B6" s="16">
        <f>'Student Fees Att C-1'!B6</f>
        <v>114</v>
      </c>
      <c r="C6" s="10">
        <f t="shared" si="0"/>
        <v>0.10144927536231885</v>
      </c>
      <c r="D6" s="16">
        <f>'Student Fees Att C-1'!D6</f>
        <v>114</v>
      </c>
      <c r="E6" s="10">
        <f t="shared" si="1"/>
        <v>0.10144927536231885</v>
      </c>
      <c r="F6" s="16">
        <f>'Student Fees Att C-1'!F6</f>
        <v>114</v>
      </c>
      <c r="G6" s="10">
        <f t="shared" si="2"/>
        <v>0.10144927536231885</v>
      </c>
      <c r="H6" s="16">
        <f>'Student Fees Att C-1'!H6</f>
        <v>114</v>
      </c>
      <c r="I6" s="10">
        <f t="shared" si="3"/>
        <v>0.10144927536231885</v>
      </c>
      <c r="J6" s="16">
        <f>'Student Fees Att C-1'!J6</f>
        <v>114</v>
      </c>
      <c r="K6" s="10">
        <f t="shared" si="4"/>
        <v>0.10144927536231885</v>
      </c>
      <c r="L6" s="16">
        <f>'Student Fees Att C-1'!L6</f>
        <v>114</v>
      </c>
      <c r="M6" s="10">
        <f t="shared" si="5"/>
        <v>0.10144927536231885</v>
      </c>
      <c r="N6" s="16">
        <v>684</v>
      </c>
      <c r="O6" s="10">
        <f t="shared" si="6"/>
        <v>0.10144927536231885</v>
      </c>
      <c r="P6" s="12"/>
      <c r="Q6" s="8"/>
      <c r="R6" s="13"/>
      <c r="S6" s="13"/>
      <c r="T6" s="12"/>
      <c r="U6" s="12"/>
      <c r="V6" s="12"/>
      <c r="W6" s="12"/>
      <c r="X6" s="12"/>
      <c r="Y6" s="8"/>
      <c r="Z6" s="13"/>
      <c r="AA6" s="13"/>
      <c r="AB6" s="12"/>
      <c r="AC6" s="12"/>
      <c r="AD6" s="12"/>
      <c r="AE6" s="12"/>
      <c r="AF6" s="12"/>
      <c r="AG6" s="8"/>
      <c r="AH6" s="13"/>
      <c r="AI6" s="13"/>
      <c r="AJ6" s="12"/>
      <c r="AK6" s="12"/>
      <c r="AL6" s="12"/>
      <c r="AM6" s="12"/>
      <c r="AN6" s="12"/>
      <c r="AO6" s="8"/>
      <c r="AP6" s="13"/>
      <c r="AQ6" s="13"/>
      <c r="AR6" s="12"/>
      <c r="AS6" s="12"/>
      <c r="AT6" s="12"/>
      <c r="AU6" s="12"/>
      <c r="AV6" s="12"/>
      <c r="AW6" s="8"/>
      <c r="AX6" s="13"/>
      <c r="AY6" s="13"/>
      <c r="AZ6" s="12"/>
      <c r="BA6" s="12"/>
      <c r="BB6" s="12"/>
      <c r="BC6" s="12"/>
      <c r="BD6" s="12"/>
      <c r="BE6" s="8"/>
      <c r="BF6" s="13"/>
      <c r="BG6" s="13"/>
      <c r="BH6" s="12"/>
      <c r="BI6" s="12"/>
      <c r="BJ6" s="12"/>
      <c r="BK6" s="12"/>
      <c r="BL6" s="12"/>
      <c r="BM6" s="8"/>
      <c r="BN6" s="13"/>
      <c r="BO6" s="13"/>
      <c r="BP6" s="12"/>
      <c r="BQ6" s="12"/>
      <c r="BR6" s="12"/>
      <c r="BS6" s="12"/>
      <c r="BT6" s="12"/>
      <c r="BU6" s="8"/>
      <c r="BV6" s="13"/>
      <c r="BW6" s="13"/>
      <c r="BX6" s="12"/>
      <c r="BY6" s="12"/>
      <c r="BZ6" s="12"/>
      <c r="CA6" s="12"/>
      <c r="CB6" s="12"/>
      <c r="CC6" s="8"/>
      <c r="CD6" s="13"/>
      <c r="CE6" s="13"/>
      <c r="CF6" s="12"/>
      <c r="CG6" s="12"/>
      <c r="CH6" s="12"/>
      <c r="CI6" s="12"/>
      <c r="CJ6" s="12"/>
      <c r="CK6" s="8"/>
      <c r="CL6" s="13"/>
      <c r="CM6" s="13"/>
      <c r="CN6" s="12"/>
      <c r="CO6" s="12"/>
      <c r="CP6" s="12"/>
      <c r="CQ6" s="12"/>
      <c r="CR6" s="12"/>
      <c r="CS6" s="8"/>
      <c r="CT6" s="13"/>
      <c r="CU6" s="13"/>
      <c r="CV6" s="12"/>
      <c r="CW6" s="12"/>
      <c r="CX6" s="12"/>
      <c r="CY6" s="12"/>
      <c r="CZ6" s="12"/>
      <c r="DA6" s="8"/>
      <c r="DB6" s="13"/>
      <c r="DC6" s="13"/>
      <c r="DD6" s="12"/>
      <c r="DE6" s="12"/>
      <c r="DF6" s="12"/>
      <c r="DG6" s="12"/>
      <c r="DH6" s="12"/>
      <c r="DI6" s="8"/>
      <c r="DJ6" s="13"/>
      <c r="DK6" s="13"/>
      <c r="DL6" s="12"/>
      <c r="DM6" s="12"/>
      <c r="DN6" s="12"/>
      <c r="DO6" s="12"/>
      <c r="DP6" s="12"/>
      <c r="DQ6" s="8"/>
      <c r="DR6" s="13"/>
      <c r="DS6" s="13"/>
      <c r="DT6" s="12"/>
      <c r="DU6" s="12"/>
      <c r="DV6" s="12"/>
      <c r="DW6" s="12"/>
      <c r="DX6" s="12"/>
      <c r="DY6" s="8"/>
      <c r="DZ6" s="13"/>
      <c r="EA6" s="13"/>
      <c r="EB6" s="12"/>
      <c r="EC6" s="12"/>
      <c r="ED6" s="12"/>
      <c r="EE6" s="12"/>
      <c r="EF6" s="12"/>
      <c r="EG6" s="8"/>
      <c r="EH6" s="13"/>
      <c r="EI6" s="13"/>
      <c r="EJ6" s="12"/>
      <c r="EK6" s="12"/>
      <c r="EL6" s="12"/>
      <c r="EM6" s="12"/>
      <c r="EN6" s="12"/>
      <c r="EO6" s="8"/>
      <c r="EP6" s="13"/>
      <c r="EQ6" s="13"/>
      <c r="ER6" s="12"/>
      <c r="ES6" s="12"/>
      <c r="ET6" s="12"/>
      <c r="EU6" s="12"/>
      <c r="EV6" s="12"/>
      <c r="EW6" s="8"/>
      <c r="EX6" s="13"/>
      <c r="EY6" s="13"/>
      <c r="EZ6" s="12"/>
      <c r="FA6" s="12"/>
      <c r="FB6" s="12"/>
      <c r="FC6" s="12"/>
      <c r="FD6" s="12"/>
      <c r="FE6" s="8"/>
      <c r="FF6" s="13"/>
      <c r="FG6" s="13"/>
      <c r="FH6" s="12"/>
      <c r="FI6" s="12"/>
      <c r="FJ6" s="12"/>
      <c r="FK6" s="12"/>
      <c r="FL6" s="12"/>
      <c r="FM6" s="8"/>
      <c r="FN6" s="13"/>
      <c r="FO6" s="13"/>
      <c r="FP6" s="12"/>
      <c r="FQ6" s="12"/>
      <c r="FR6" s="12"/>
      <c r="FS6" s="12"/>
      <c r="FT6" s="12"/>
      <c r="FU6" s="8"/>
      <c r="FV6" s="13"/>
      <c r="FW6" s="13"/>
      <c r="FX6" s="12"/>
      <c r="FY6" s="12"/>
      <c r="FZ6" s="12"/>
      <c r="GA6" s="12"/>
      <c r="GB6" s="12"/>
      <c r="GC6" s="8"/>
      <c r="GD6" s="13"/>
      <c r="GE6" s="13"/>
      <c r="GF6" s="12"/>
      <c r="GG6" s="12"/>
      <c r="GH6" s="12"/>
      <c r="GI6" s="12"/>
      <c r="GJ6" s="12"/>
      <c r="GK6" s="8"/>
      <c r="GL6" s="13"/>
      <c r="GM6" s="13"/>
      <c r="GN6" s="12"/>
      <c r="GO6" s="12"/>
      <c r="GP6" s="12"/>
      <c r="GQ6" s="12"/>
      <c r="GR6" s="12"/>
      <c r="GS6" s="8"/>
      <c r="GT6" s="13"/>
      <c r="GU6" s="13"/>
      <c r="GV6" s="12"/>
      <c r="GW6" s="12"/>
      <c r="GX6" s="12"/>
      <c r="GY6" s="12"/>
      <c r="GZ6" s="12"/>
      <c r="HA6" s="8"/>
      <c r="HB6" s="13"/>
      <c r="HC6" s="13"/>
      <c r="HD6" s="12"/>
      <c r="HE6" s="12"/>
      <c r="HF6" s="12"/>
      <c r="HG6" s="12"/>
      <c r="HH6" s="12"/>
      <c r="HI6" s="8"/>
      <c r="HJ6" s="13"/>
      <c r="HK6" s="13"/>
      <c r="HL6" s="12"/>
      <c r="HM6" s="12"/>
      <c r="HN6" s="12"/>
      <c r="HO6" s="12"/>
      <c r="HP6" s="12"/>
      <c r="HQ6" s="8"/>
      <c r="HR6" s="13"/>
      <c r="HS6" s="13"/>
      <c r="HT6" s="12"/>
      <c r="HU6" s="12"/>
      <c r="HV6" s="12"/>
      <c r="HW6" s="12"/>
      <c r="HX6" s="12"/>
      <c r="HY6" s="8"/>
      <c r="HZ6" s="13"/>
      <c r="IA6" s="13"/>
      <c r="IB6" s="12"/>
      <c r="IC6" s="12"/>
      <c r="ID6" s="12"/>
      <c r="IE6" s="12"/>
      <c r="IF6" s="12"/>
      <c r="IG6" s="8"/>
      <c r="IH6" s="13"/>
      <c r="II6" s="13"/>
      <c r="IJ6" s="12"/>
      <c r="IK6" s="12"/>
      <c r="IL6" s="12"/>
      <c r="IM6" s="12"/>
      <c r="IN6" s="12"/>
      <c r="IO6" s="8"/>
      <c r="IP6" s="13"/>
      <c r="IQ6" s="13"/>
      <c r="IR6" s="12"/>
      <c r="IS6" s="12"/>
      <c r="IT6" s="12"/>
      <c r="IU6" s="12"/>
      <c r="IV6" s="12"/>
    </row>
    <row r="7" spans="1:256" ht="12">
      <c r="A7" s="8" t="s">
        <v>22</v>
      </c>
      <c r="B7" s="16">
        <f>+'Student Fees Att C-1'!B7/(1+$A$3)^1</f>
        <v>110.67961165048544</v>
      </c>
      <c r="C7" s="10">
        <f t="shared" si="0"/>
        <v>-2.9126213592232972E-2</v>
      </c>
      <c r="D7" s="16">
        <f>+'Student Fees Att C-1'!D7/(1+$A$3)^1</f>
        <v>110.67961165048544</v>
      </c>
      <c r="E7" s="10">
        <f t="shared" si="1"/>
        <v>-2.9126213592232972E-2</v>
      </c>
      <c r="F7" s="16">
        <f>+'Student Fees Att C-1'!F7/(1+$A$3)^1</f>
        <v>110.67961165048544</v>
      </c>
      <c r="G7" s="10">
        <f t="shared" si="2"/>
        <v>-2.9126213592232972E-2</v>
      </c>
      <c r="H7" s="16">
        <f>+'Student Fees Att C-1'!H7/(1+$A$3)^1</f>
        <v>110.67961165048544</v>
      </c>
      <c r="I7" s="10">
        <f t="shared" si="3"/>
        <v>-2.9126213592232972E-2</v>
      </c>
      <c r="J7" s="16">
        <f>+'Student Fees Att C-1'!J7/(1+$A$3)^1</f>
        <v>110.67961165048544</v>
      </c>
      <c r="K7" s="10">
        <f t="shared" si="4"/>
        <v>-2.9126213592232972E-2</v>
      </c>
      <c r="L7" s="16">
        <f>+'Student Fees Att C-1'!L7/(1+$A$3)^1</f>
        <v>110.67961165048544</v>
      </c>
      <c r="M7" s="10">
        <f t="shared" si="5"/>
        <v>-2.9126213592232972E-2</v>
      </c>
      <c r="N7" s="16">
        <v>664.07766990291259</v>
      </c>
      <c r="O7" s="10">
        <f t="shared" si="6"/>
        <v>-2.9126213592233056E-2</v>
      </c>
    </row>
    <row r="8" spans="1:256" ht="12">
      <c r="A8" s="8" t="s">
        <v>23</v>
      </c>
      <c r="B8" s="16">
        <f>+'Student Fees Att C-1'!B8/(1+$A$3)^2</f>
        <v>147.61051937034594</v>
      </c>
      <c r="C8" s="10">
        <f t="shared" si="0"/>
        <v>0.33367399080224835</v>
      </c>
      <c r="D8" s="16">
        <f>+'Student Fees Att C-1'!D8/(1+$A$3)^2</f>
        <v>119.1064190781412</v>
      </c>
      <c r="E8" s="10">
        <f t="shared" si="1"/>
        <v>7.6136944302503798E-2</v>
      </c>
      <c r="F8" s="16">
        <f>+'Student Fees Att C-1'!F8/(1+$A$3)^2</f>
        <v>147.94985389763409</v>
      </c>
      <c r="G8" s="10">
        <f t="shared" si="2"/>
        <v>0.33673990802248333</v>
      </c>
      <c r="H8" s="16">
        <f>+'Student Fees Att C-1'!H8/(1+$A$3)^2</f>
        <v>117.18352342350835</v>
      </c>
      <c r="I8" s="10">
        <f t="shared" si="3"/>
        <v>5.876341338783854E-2</v>
      </c>
      <c r="J8" s="16">
        <f>+'Student Fees Att C-1'!J8/(1+$A$3)^2</f>
        <v>173.06060891695731</v>
      </c>
      <c r="K8" s="10">
        <f t="shared" si="4"/>
        <v>0.56361778231987736</v>
      </c>
      <c r="L8" s="16">
        <f>+'Student Fees Att C-1'!L8/(1+$A$3)^2</f>
        <v>158.35611273447074</v>
      </c>
      <c r="M8" s="10">
        <f t="shared" si="5"/>
        <v>0.43076136944302507</v>
      </c>
      <c r="N8" s="16">
        <v>853.53944763879736</v>
      </c>
      <c r="O8" s="10">
        <f t="shared" si="6"/>
        <v>0.28530063021631774</v>
      </c>
    </row>
    <row r="9" spans="1:256" ht="12">
      <c r="A9" s="8" t="s">
        <v>24</v>
      </c>
      <c r="B9" s="16">
        <f>+'Student Fees Att C-1'!B9/(1+$A$3)^3</f>
        <v>143.44845510360776</v>
      </c>
      <c r="C9" s="10">
        <f t="shared" si="0"/>
        <v>-2.8196257858126052E-2</v>
      </c>
      <c r="D9" s="16">
        <f>+'Student Fees Att C-1'!D9/(1+$A$3)^3</f>
        <v>121.78705202671848</v>
      </c>
      <c r="E9" s="10">
        <f t="shared" si="1"/>
        <v>2.2506200499728079E-2</v>
      </c>
      <c r="F9" s="16">
        <f>+'Student Fees Att C-1'!F9/(1+$A$3)^3</f>
        <v>156.81867474675744</v>
      </c>
      <c r="G9" s="10">
        <f t="shared" si="2"/>
        <v>5.9944775986461293E-2</v>
      </c>
      <c r="H9" s="16">
        <f>+'Student Fees Att C-1'!H9/(1+$A$3)^3</f>
        <v>118.60235905216948</v>
      </c>
      <c r="I9" s="10">
        <f t="shared" si="3"/>
        <v>1.2107808224312988E-2</v>
      </c>
      <c r="J9" s="16">
        <f>+'Student Fees Att C-1'!J9/(1+$A$3)^3</f>
        <v>168.02000865724008</v>
      </c>
      <c r="K9" s="10">
        <f t="shared" si="4"/>
        <v>-2.9126213592233125E-2</v>
      </c>
      <c r="L9" s="16">
        <f>+'Student Fees Att C-1'!L9/(1+$A$3)^3</f>
        <v>157.77042207248471</v>
      </c>
      <c r="M9" s="10">
        <f t="shared" si="5"/>
        <v>-3.6985668053630054E-3</v>
      </c>
      <c r="N9" s="16">
        <v>871.49855361860739</v>
      </c>
      <c r="O9" s="10">
        <f t="shared" si="6"/>
        <v>2.1040745134265904E-2</v>
      </c>
    </row>
    <row r="10" spans="1:256" ht="12">
      <c r="A10" s="8" t="s">
        <v>25</v>
      </c>
      <c r="B10" s="16">
        <f>+'Student Fees Att C-1'!B10/(1+$A$3)^4</f>
        <v>139.49246652276318</v>
      </c>
      <c r="C10" s="10">
        <f t="shared" si="0"/>
        <v>-2.7577770551710054E-2</v>
      </c>
      <c r="D10" s="16">
        <f>+'Student Fees Att C-1'!D10/(1+$A$3)^4</f>
        <v>133.27305718735334</v>
      </c>
      <c r="E10" s="10">
        <f t="shared" si="1"/>
        <v>9.4312202894236918E-2</v>
      </c>
      <c r="F10" s="16">
        <f>+'Student Fees Att C-1'!F10/(1+$A$3)^4</f>
        <v>149.26582404983574</v>
      </c>
      <c r="G10" s="10">
        <f t="shared" si="2"/>
        <v>-4.8162954502189263E-2</v>
      </c>
      <c r="H10" s="16">
        <f>+'Student Fees Att C-1'!H10/(1+$A$3)^4</f>
        <v>117.06705343337117</v>
      </c>
      <c r="I10" s="10">
        <f t="shared" si="3"/>
        <v>-1.2944983818770175E-2</v>
      </c>
      <c r="J10" s="16">
        <f>+'Student Fees Att C-1'!J10/(1+$A$3)^4</f>
        <v>175.92043548730641</v>
      </c>
      <c r="K10" s="10">
        <f t="shared" si="4"/>
        <v>4.7020750047591958E-2</v>
      </c>
      <c r="L10" s="16">
        <f>+'Student Fees Att C-1'!L10/(1+$A$3)^4</f>
        <v>156.37372043316125</v>
      </c>
      <c r="M10" s="10">
        <f t="shared" si="5"/>
        <v>-8.8527470547157712E-3</v>
      </c>
      <c r="N10" s="16">
        <v>874.27125514903798</v>
      </c>
      <c r="O10" s="10">
        <f t="shared" si="6"/>
        <v>3.1815331407239584E-3</v>
      </c>
    </row>
    <row r="11" spans="1:256" ht="12">
      <c r="A11" s="5" t="s">
        <v>26</v>
      </c>
      <c r="B11" s="16">
        <f>+'Student Fees Att C-1'!B11/(1+$A$3)^5</f>
        <v>159.58262511107037</v>
      </c>
      <c r="C11" s="10">
        <f t="shared" si="0"/>
        <v>0.1440232514995981</v>
      </c>
      <c r="D11" s="16">
        <f>+'Student Fees Att C-1'!D11/(1+$A$3)^5</f>
        <v>151.82777213945673</v>
      </c>
      <c r="E11" s="10">
        <f t="shared" si="1"/>
        <v>0.13922330097087388</v>
      </c>
      <c r="F11" s="16">
        <f>+'Student Fees Att C-1'!F11/(1+$A$3)^5</f>
        <v>150.95653726722873</v>
      </c>
      <c r="G11" s="10">
        <f t="shared" si="2"/>
        <v>1.1326860841424088E-2</v>
      </c>
      <c r="H11" s="16">
        <f>+'Student Fees Att C-1'!H11/(1+$A$3)^5</f>
        <v>117.79785559550145</v>
      </c>
      <c r="I11" s="10">
        <f t="shared" si="3"/>
        <v>6.2425946557731638E-3</v>
      </c>
      <c r="J11" s="16">
        <f>+'Student Fees Att C-1'!J11/(1+$A$3)^5</f>
        <v>175.97219201436948</v>
      </c>
      <c r="K11" s="10">
        <f t="shared" si="4"/>
        <v>2.9420417769947699E-4</v>
      </c>
      <c r="L11" s="16">
        <f>+'Student Fees Att C-1'!L11/(1+$A$3)^5</f>
        <v>159.58262511107037</v>
      </c>
      <c r="M11" s="10">
        <f t="shared" si="5"/>
        <v>2.0520741394527978E-2</v>
      </c>
      <c r="N11" s="16">
        <v>911.78611118190531</v>
      </c>
      <c r="O11" s="10">
        <f t="shared" si="6"/>
        <v>4.2909858710237628E-2</v>
      </c>
      <c r="P11" s="18"/>
      <c r="Q11" s="24">
        <f>+J11/24</f>
        <v>7.3321746672653951</v>
      </c>
      <c r="R11" s="24"/>
    </row>
    <row r="12" spans="1:256" ht="12">
      <c r="A12" s="20" t="s">
        <v>27</v>
      </c>
      <c r="B12" s="16">
        <f>+'Student Fees Att C-1'!B12/(1+$A$3)^6</f>
        <v>154.93458748647606</v>
      </c>
      <c r="C12" s="10">
        <f t="shared" si="0"/>
        <v>-2.9126213592233177E-2</v>
      </c>
      <c r="D12" s="16">
        <f>+'Student Fees Att C-1'!D12/(1+$A$3)^6</f>
        <v>130.60566982981589</v>
      </c>
      <c r="E12" s="10">
        <f t="shared" si="1"/>
        <v>-0.13977747292601991</v>
      </c>
      <c r="F12" s="16">
        <f>+'Student Fees Att C-1'!F12/(1+$A$3)^6</f>
        <v>156.67655474037807</v>
      </c>
      <c r="G12" s="10">
        <f t="shared" si="2"/>
        <v>3.7891816920943004E-2</v>
      </c>
      <c r="H12" s="16">
        <f>+'Student Fees Att C-1'!H12/(1+$A$3)^6</f>
        <v>108.13596722299346</v>
      </c>
      <c r="I12" s="10">
        <f t="shared" si="3"/>
        <v>-8.2020919002849524E-2</v>
      </c>
      <c r="J12" s="16">
        <f>+'Student Fees Att C-1'!J12/(1+$A$3)^6</f>
        <v>185.92150498377129</v>
      </c>
      <c r="K12" s="10">
        <f t="shared" si="4"/>
        <v>5.6539120502569887E-2</v>
      </c>
      <c r="L12" s="16">
        <f>+'Student Fees Att C-1'!L12/(1+$A$3)^6</f>
        <v>158.11702766187398</v>
      </c>
      <c r="M12" s="10">
        <f t="shared" si="5"/>
        <v>-9.1839412227761683E-3</v>
      </c>
      <c r="N12" s="16">
        <v>906.45108522155351</v>
      </c>
      <c r="O12" s="10">
        <f t="shared" si="6"/>
        <v>-5.8511814283245195E-3</v>
      </c>
      <c r="Q12" s="24">
        <f>+J12/24</f>
        <v>7.7467293743238033</v>
      </c>
      <c r="R12" s="24">
        <f>+Q12-Q11</f>
        <v>0.41455470705840813</v>
      </c>
    </row>
    <row r="13" spans="1:256" ht="12">
      <c r="A13" s="20" t="s">
        <v>28</v>
      </c>
      <c r="B13" s="16">
        <f>+'Student Fees Att C-1'!B13/(1+$A$3)^7</f>
        <v>160.1790277346407</v>
      </c>
      <c r="C13" s="10">
        <f t="shared" si="0"/>
        <v>3.3849383363946502E-2</v>
      </c>
      <c r="D13" s="16">
        <f>+'Student Fees Att C-1'!D13/(1+$A$3)^7</f>
        <v>128.46845879224989</v>
      </c>
      <c r="E13" s="10">
        <f t="shared" si="1"/>
        <v>-1.6363845768341226E-2</v>
      </c>
      <c r="F13" s="16">
        <f>+'Student Fees Att C-1'!F13/(1+$A$3)^7</f>
        <v>149.67388540808457</v>
      </c>
      <c r="G13" s="10">
        <f t="shared" si="2"/>
        <v>-4.4695068409548025E-2</v>
      </c>
      <c r="H13" s="16">
        <f>+'Student Fees Att C-1'!H13/(1+$A$3)^7</f>
        <v>106.74265360915548</v>
      </c>
      <c r="I13" s="10">
        <f t="shared" si="3"/>
        <v>-1.2884830548236945E-2</v>
      </c>
      <c r="J13" s="16">
        <f>+'Student Fees Att C-1'!J13/(1+$A$3)^7</f>
        <v>190.26341365434479</v>
      </c>
      <c r="K13" s="10">
        <f t="shared" si="4"/>
        <v>2.3353450537916522E-2</v>
      </c>
      <c r="L13" s="16">
        <f>+'Student Fees Att C-1'!L13/(1+$A$3)^7</f>
        <v>153.51167734162519</v>
      </c>
      <c r="M13" s="10">
        <f t="shared" si="5"/>
        <v>-2.9126213592233215E-2</v>
      </c>
      <c r="N13" s="16">
        <v>889.22940046554527</v>
      </c>
      <c r="O13" s="10">
        <f t="shared" si="6"/>
        <v>-1.8999022712625407E-2</v>
      </c>
      <c r="Q13" s="24">
        <f>+J13/24</f>
        <v>7.9276422355976992</v>
      </c>
      <c r="R13" s="24">
        <f>+Q13-Q12</f>
        <v>0.18091286127389594</v>
      </c>
    </row>
    <row r="14" spans="1:256" ht="12">
      <c r="A14" s="20" t="s">
        <v>29</v>
      </c>
      <c r="B14" s="16">
        <f>+'Student Fees Att C-1'!B14/(1+$A$3)^8</f>
        <v>155.51361915984535</v>
      </c>
      <c r="C14" s="10">
        <f t="shared" si="0"/>
        <v>-2.9126213592232948E-2</v>
      </c>
      <c r="D14" s="16">
        <f>+'Student Fees Att C-1'!D14/(1+$A$3)^8</f>
        <v>170.51239461181012</v>
      </c>
      <c r="E14" s="10">
        <f t="shared" si="1"/>
        <v>0.32727049281061832</v>
      </c>
      <c r="F14" s="16">
        <f>+'Student Fees Att C-1'!F14/(1+$A$3)^8</f>
        <v>145.31445185250931</v>
      </c>
      <c r="G14" s="10">
        <f t="shared" si="2"/>
        <v>-2.9126213592232917E-2</v>
      </c>
      <c r="H14" s="16">
        <f>+'Student Fees Att C-1'!H14/(1+$A$3)^8</f>
        <v>92.266151306612812</v>
      </c>
      <c r="I14" s="10">
        <f t="shared" si="3"/>
        <v>-0.13562059601356022</v>
      </c>
      <c r="J14" s="16">
        <f>+'Student Fees Att C-1'!J14/(1+$A$3)^8</f>
        <v>191.35279839769802</v>
      </c>
      <c r="K14" s="10">
        <f t="shared" si="4"/>
        <v>5.7256659198407006E-3</v>
      </c>
      <c r="L14" s="16">
        <f>+'Student Fees Att C-1'!L14/(1+$A$3)^8</f>
        <v>161.67101118749406</v>
      </c>
      <c r="M14" s="10">
        <f t="shared" si="5"/>
        <v>5.3151225933849154E-2</v>
      </c>
      <c r="N14" s="16">
        <v>935.57624813950417</v>
      </c>
      <c r="O14" s="10">
        <f t="shared" si="6"/>
        <v>5.2120237645870204E-2</v>
      </c>
      <c r="Q14" s="24">
        <f>+J14/24</f>
        <v>7.9730332665707513</v>
      </c>
      <c r="R14" s="24">
        <f>+Q14-Q13</f>
        <v>4.5391030973052082E-2</v>
      </c>
    </row>
    <row r="15" spans="1:256" ht="12">
      <c r="A15" s="20" t="s">
        <v>30</v>
      </c>
      <c r="B15" s="16">
        <f>+'Student Fees Att C-1'!B15/(1+$A$3)^9</f>
        <v>150.98409627169451</v>
      </c>
      <c r="C15" s="10">
        <f t="shared" si="0"/>
        <v>-2.9126213592233018E-2</v>
      </c>
      <c r="D15" s="16">
        <f>+'Student Fees Att C-1'!D15/(1+$A$3)^9</f>
        <v>188.53851615653224</v>
      </c>
      <c r="E15" s="10">
        <f t="shared" si="1"/>
        <v>0.10571736785329025</v>
      </c>
      <c r="F15" s="16">
        <f>+'Student Fees Att C-1'!F15/(1+$A$3)^9</f>
        <v>138.50683186914026</v>
      </c>
      <c r="G15" s="10">
        <f t="shared" si="2"/>
        <v>-4.6847508259389249E-2</v>
      </c>
      <c r="H15" s="16">
        <f>+'Student Fees Att C-1'!H15/(1+$A$3)^9</f>
        <v>97.67214836987182</v>
      </c>
      <c r="I15" s="10">
        <f t="shared" si="3"/>
        <v>5.8591335898407142E-2</v>
      </c>
      <c r="J15" s="16">
        <f>+'Student Fees Att C-1'!J15/(1+$A$3)^9</f>
        <v>194.66985001528124</v>
      </c>
      <c r="K15" s="10">
        <f t="shared" si="4"/>
        <v>1.7334743183056171E-2</v>
      </c>
      <c r="L15" s="16">
        <f>+'Student Fees Att C-1'!L15/(1+$A$3)^9</f>
        <v>164.31974741447362</v>
      </c>
      <c r="M15" s="10">
        <f t="shared" si="5"/>
        <v>1.6383495145631009E-2</v>
      </c>
      <c r="N15" s="16">
        <v>930.46056973445684</v>
      </c>
      <c r="O15" s="10">
        <f t="shared" si="6"/>
        <v>-5.467943863710115E-3</v>
      </c>
      <c r="Q15" s="24">
        <f>+J15/24</f>
        <v>8.111243750636719</v>
      </c>
      <c r="R15" s="24"/>
    </row>
    <row r="16" spans="1:256" ht="12">
      <c r="A16" s="20" t="s">
        <v>35</v>
      </c>
      <c r="B16" s="16">
        <f>+'Student Fees Att C-1'!B16/(1+$A$3)^10</f>
        <v>154.02744038362212</v>
      </c>
      <c r="C16" s="10">
        <f t="shared" si="0"/>
        <v>2.0156719727958232E-2</v>
      </c>
      <c r="D16" s="16">
        <f>+'Student Fees Att C-1'!D16/(1+$A$3)^10</f>
        <v>182.15419036671832</v>
      </c>
      <c r="E16" s="10">
        <f t="shared" si="1"/>
        <v>-3.3862183282027059E-2</v>
      </c>
      <c r="F16" s="16">
        <f>+'Student Fees Att C-1'!F16/(1+$A$3)^10</f>
        <v>137.68713801249001</v>
      </c>
      <c r="G16" s="10">
        <f t="shared" si="2"/>
        <v>-5.9180752717287229E-3</v>
      </c>
      <c r="H16" s="16">
        <f>+'Student Fees Att C-1'!H16/(1+$A$3)^10</f>
        <v>96.434571370615586</v>
      </c>
      <c r="I16" s="10">
        <f t="shared" si="3"/>
        <v>-1.2670725687016627E-2</v>
      </c>
      <c r="J16" s="16">
        <f>+'Student Fees Att C-1'!J16/(1+$A$3)^10</f>
        <v>193.46441787314856</v>
      </c>
      <c r="K16" s="10">
        <f t="shared" si="4"/>
        <v>-6.1921871416557557E-3</v>
      </c>
      <c r="L16" s="16">
        <f>+'Student Fees Att C-1'!L16/(1+$A$3)^10</f>
        <v>160.72428561769263</v>
      </c>
      <c r="M16" s="10">
        <f t="shared" si="5"/>
        <v>-2.1880886827996059E-2</v>
      </c>
      <c r="N16" s="16">
        <f>+B16+D16+F16+H16+J16+L16</f>
        <v>924.49204362428725</v>
      </c>
      <c r="O16" s="10">
        <f t="shared" si="6"/>
        <v>-6.4145932716664642E-3</v>
      </c>
      <c r="Q16" s="24"/>
      <c r="R16" s="24"/>
    </row>
    <row r="17" spans="1:18" ht="12">
      <c r="A17" s="20" t="s">
        <v>38</v>
      </c>
      <c r="B17" s="16">
        <f>+'Student Fees Att C-1'!B17/(1+$A$3)^11</f>
        <v>153.87573191553636</v>
      </c>
      <c r="C17" s="10">
        <f t="shared" si="0"/>
        <v>-9.849444209935024E-4</v>
      </c>
      <c r="D17" s="16">
        <f>+'Student Fees Att C-1'!D17/(1+$A$3)^11</f>
        <v>174.94153634115628</v>
      </c>
      <c r="E17" s="10">
        <f t="shared" si="1"/>
        <v>-3.9596421092708944E-2</v>
      </c>
      <c r="F17" s="16">
        <f>+'Student Fees Att C-1'!F17/(1+$A$3)^11</f>
        <v>135.01331238354268</v>
      </c>
      <c r="G17" s="10">
        <f t="shared" si="2"/>
        <v>-1.9419574460940399E-2</v>
      </c>
      <c r="H17" s="16">
        <f>+'Student Fees Att C-1'!H17/(1+$A$3)^11</f>
        <v>100.5610417025477</v>
      </c>
      <c r="I17" s="10">
        <f t="shared" si="3"/>
        <v>4.2790363178712494E-2</v>
      </c>
      <c r="J17" s="16">
        <f>+'Student Fees Att C-1'!J17/(1+$A$3)^11</f>
        <v>195.92065021358434</v>
      </c>
      <c r="K17" s="10">
        <f t="shared" si="4"/>
        <v>1.269604182225533E-2</v>
      </c>
      <c r="L17" s="16">
        <f>+'Student Fees Att C-1'!L17/(1+$A$3)^11</f>
        <v>159.51061787300674</v>
      </c>
      <c r="M17" s="10">
        <f t="shared" si="5"/>
        <v>-7.5512405609491247E-3</v>
      </c>
      <c r="N17" s="16">
        <f>+B17+D17+F17+H17+J17+L17</f>
        <v>919.82289042937407</v>
      </c>
      <c r="O17" s="10">
        <f t="shared" si="6"/>
        <v>-5.0505066291416543E-3</v>
      </c>
      <c r="Q17" s="24"/>
      <c r="R17" s="24"/>
    </row>
    <row r="18" spans="1:18" ht="12">
      <c r="A18" s="21"/>
      <c r="B18" s="5"/>
      <c r="C18" s="5"/>
      <c r="D18" s="5"/>
      <c r="E18" s="5"/>
      <c r="F18" s="5"/>
      <c r="G18" s="5"/>
      <c r="H18" s="5"/>
      <c r="I18" s="5"/>
      <c r="J18" s="5"/>
      <c r="K18" s="5"/>
      <c r="L18" s="5"/>
      <c r="M18" s="5"/>
      <c r="N18" s="5"/>
      <c r="O18" s="5"/>
    </row>
    <row r="19" spans="1:18" ht="15">
      <c r="A19" s="22" t="s">
        <v>42</v>
      </c>
      <c r="B19" s="17"/>
      <c r="C19" s="17"/>
      <c r="D19" s="17"/>
      <c r="E19" s="17"/>
      <c r="F19" s="17"/>
      <c r="G19" s="17"/>
      <c r="H19" s="26"/>
      <c r="I19" s="17"/>
      <c r="J19" s="26"/>
      <c r="K19" s="17"/>
      <c r="L19" s="33" t="s">
        <v>40</v>
      </c>
      <c r="M19" s="17"/>
      <c r="N19" s="17"/>
      <c r="O19" s="17"/>
    </row>
    <row r="20" spans="1:18" ht="12">
      <c r="B20" s="23"/>
      <c r="C20" s="5"/>
      <c r="D20" s="23"/>
      <c r="E20" s="5"/>
      <c r="F20" s="23"/>
      <c r="G20" s="5"/>
      <c r="H20" s="25"/>
      <c r="I20" s="5"/>
      <c r="J20" s="23"/>
      <c r="K20" s="5"/>
      <c r="L20" s="23"/>
      <c r="M20" s="5"/>
      <c r="N20" s="23"/>
      <c r="O20" s="5"/>
    </row>
    <row r="47" spans="1:1" s="29" customFormat="1" ht="12">
      <c r="A47" s="27"/>
    </row>
    <row r="48" spans="1:1" s="29" customFormat="1" ht="12.75">
      <c r="A48" s="31"/>
    </row>
  </sheetData>
  <phoneticPr fontId="6" type="noConversion"/>
  <printOptions horizontalCentered="1"/>
  <pageMargins left="0.75" right="0.75" top="0.5" bottom="0.25" header="0" footer="0"/>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autoPageBreaks="0" fitToPage="1"/>
  </sheetPr>
  <dimension ref="A1:J61"/>
  <sheetViews>
    <sheetView view="pageBreakPreview" zoomScaleNormal="70" zoomScaleSheetLayoutView="100" workbookViewId="0">
      <pane ySplit="6" topLeftCell="A34" activePane="bottomLeft" state="frozen"/>
      <selection activeCell="B18" sqref="B18"/>
      <selection pane="bottomLeft" activeCell="B18" sqref="B18"/>
    </sheetView>
  </sheetViews>
  <sheetFormatPr defaultColWidth="9.140625" defaultRowHeight="15" customHeight="1"/>
  <cols>
    <col min="1" max="1" width="65.140625" style="37" bestFit="1" customWidth="1"/>
    <col min="2" max="2" width="0" style="37" hidden="1" customWidth="1"/>
    <col min="3" max="3" width="17.42578125" style="37" hidden="1" customWidth="1"/>
    <col min="4" max="4" width="12.140625" style="141" bestFit="1" customWidth="1"/>
    <col min="5" max="5" width="11.7109375" style="141" bestFit="1" customWidth="1"/>
    <col min="6" max="6" width="8.5703125" style="36" bestFit="1" customWidth="1"/>
    <col min="7" max="7" width="9.28515625" style="37" bestFit="1" customWidth="1"/>
    <col min="8" max="16384" width="9.140625" style="37"/>
  </cols>
  <sheetData>
    <row r="1" spans="1:9" ht="15" customHeight="1">
      <c r="A1" s="38" t="s">
        <v>212</v>
      </c>
      <c r="B1" s="140"/>
      <c r="G1" s="142"/>
      <c r="H1" s="59"/>
      <c r="I1" s="59"/>
    </row>
    <row r="2" spans="1:9" ht="15" customHeight="1">
      <c r="A2" s="38" t="s">
        <v>14</v>
      </c>
      <c r="B2" s="140"/>
      <c r="G2" s="142"/>
    </row>
    <row r="3" spans="1:9" ht="15" customHeight="1">
      <c r="A3" s="38" t="s">
        <v>215</v>
      </c>
      <c r="B3" s="140"/>
    </row>
    <row r="4" spans="1:9" ht="15" customHeight="1">
      <c r="A4" s="140"/>
      <c r="B4" s="140"/>
    </row>
    <row r="5" spans="1:9" ht="15" customHeight="1">
      <c r="A5" s="35"/>
      <c r="B5" s="35"/>
      <c r="C5" s="43" t="s">
        <v>1</v>
      </c>
      <c r="D5" s="143" t="s">
        <v>1</v>
      </c>
      <c r="E5" s="143" t="s">
        <v>2</v>
      </c>
      <c r="F5" s="43" t="s">
        <v>39</v>
      </c>
      <c r="G5" s="43" t="s">
        <v>153</v>
      </c>
      <c r="H5" s="34"/>
    </row>
    <row r="6" spans="1:9" ht="15" customHeight="1">
      <c r="A6" s="35"/>
      <c r="B6" s="35"/>
      <c r="C6" s="43" t="s">
        <v>90</v>
      </c>
      <c r="D6" s="143" t="s">
        <v>160</v>
      </c>
      <c r="E6" s="143" t="s">
        <v>216</v>
      </c>
      <c r="F6" s="43" t="s">
        <v>57</v>
      </c>
      <c r="G6" s="43" t="s">
        <v>57</v>
      </c>
      <c r="H6" s="34"/>
    </row>
    <row r="7" spans="1:9" ht="15" customHeight="1">
      <c r="A7" s="35"/>
      <c r="B7" s="35"/>
      <c r="C7" s="144"/>
      <c r="D7" s="145"/>
      <c r="E7" s="145"/>
      <c r="F7" s="79"/>
      <c r="G7" s="34"/>
      <c r="H7" s="146"/>
    </row>
    <row r="8" spans="1:9" ht="15" customHeight="1">
      <c r="A8" s="123" t="s">
        <v>8</v>
      </c>
      <c r="B8" s="34"/>
      <c r="C8" s="147">
        <v>265.19</v>
      </c>
      <c r="D8" s="148">
        <v>292.77999999999997</v>
      </c>
      <c r="E8" s="149">
        <f>(24.88*6)*2</f>
        <v>298.56</v>
      </c>
      <c r="F8" s="150">
        <f>E8/D8-1</f>
        <v>1.9741785641095744E-2</v>
      </c>
      <c r="G8" s="151">
        <f>E8-D8</f>
        <v>5.7800000000000296</v>
      </c>
      <c r="H8" s="146"/>
    </row>
    <row r="9" spans="1:9" ht="15" customHeight="1">
      <c r="A9" s="34" t="s">
        <v>67</v>
      </c>
      <c r="B9" s="34"/>
      <c r="C9" s="79"/>
      <c r="D9" s="152"/>
      <c r="E9" s="152"/>
      <c r="F9" s="134"/>
      <c r="G9" s="151"/>
      <c r="H9" s="146"/>
    </row>
    <row r="10" spans="1:9" ht="15" customHeight="1">
      <c r="A10" s="34" t="s">
        <v>224</v>
      </c>
      <c r="B10" s="34"/>
      <c r="C10" s="79"/>
      <c r="D10" s="152"/>
      <c r="E10" s="152"/>
      <c r="F10" s="134"/>
      <c r="G10" s="151"/>
      <c r="H10" s="146"/>
    </row>
    <row r="11" spans="1:9" ht="15" customHeight="1">
      <c r="A11" s="34" t="s">
        <v>125</v>
      </c>
      <c r="B11" s="34"/>
      <c r="C11" s="79"/>
      <c r="D11" s="152"/>
      <c r="E11" s="152"/>
      <c r="F11" s="134"/>
      <c r="G11" s="151"/>
      <c r="H11" s="146"/>
    </row>
    <row r="12" spans="1:9" ht="15" customHeight="1">
      <c r="A12" s="80"/>
      <c r="B12" s="34"/>
      <c r="C12" s="79"/>
      <c r="D12" s="152"/>
      <c r="E12" s="152"/>
      <c r="F12" s="134"/>
      <c r="G12" s="151"/>
      <c r="H12" s="146"/>
    </row>
    <row r="13" spans="1:9" s="59" customFormat="1" ht="15" customHeight="1">
      <c r="A13" s="123" t="s">
        <v>122</v>
      </c>
      <c r="B13" s="80"/>
      <c r="C13" s="83"/>
      <c r="D13" s="148">
        <v>204</v>
      </c>
      <c r="E13" s="149">
        <f>8.5*30</f>
        <v>255</v>
      </c>
      <c r="F13" s="153">
        <f>E13/D13-1</f>
        <v>0.25</v>
      </c>
      <c r="G13" s="154">
        <v>0</v>
      </c>
      <c r="H13" s="155"/>
    </row>
    <row r="14" spans="1:9" s="59" customFormat="1" ht="15" customHeight="1">
      <c r="A14" s="80" t="s">
        <v>147</v>
      </c>
      <c r="B14" s="80"/>
      <c r="C14" s="83"/>
      <c r="D14" s="148"/>
      <c r="E14" s="148"/>
      <c r="F14" s="156"/>
      <c r="G14" s="151"/>
      <c r="H14" s="155"/>
    </row>
    <row r="15" spans="1:9" s="59" customFormat="1" ht="15" customHeight="1">
      <c r="A15" s="80" t="s">
        <v>247</v>
      </c>
      <c r="B15" s="80"/>
      <c r="C15" s="83"/>
      <c r="D15" s="148"/>
      <c r="E15" s="148"/>
      <c r="F15" s="156"/>
      <c r="G15" s="151"/>
      <c r="H15" s="155"/>
    </row>
    <row r="16" spans="1:9" ht="15" customHeight="1">
      <c r="A16" s="157" t="s">
        <v>248</v>
      </c>
      <c r="B16" s="34"/>
      <c r="C16" s="79"/>
      <c r="D16" s="152"/>
      <c r="E16" s="152"/>
      <c r="F16" s="134"/>
      <c r="G16" s="151"/>
      <c r="H16" s="146"/>
    </row>
    <row r="17" spans="1:8" ht="15" customHeight="1">
      <c r="A17" s="80"/>
      <c r="B17" s="34"/>
      <c r="C17" s="79"/>
      <c r="D17" s="152"/>
      <c r="E17" s="152"/>
      <c r="F17" s="134"/>
      <c r="G17" s="151"/>
      <c r="H17" s="146"/>
    </row>
    <row r="18" spans="1:8" ht="15" customHeight="1">
      <c r="A18" s="52" t="s">
        <v>58</v>
      </c>
      <c r="B18" s="34"/>
      <c r="C18" s="147">
        <v>165</v>
      </c>
      <c r="D18" s="148">
        <v>165</v>
      </c>
      <c r="E18" s="148">
        <v>165</v>
      </c>
      <c r="F18" s="153">
        <f>(+D18-C18)/C18</f>
        <v>0</v>
      </c>
      <c r="G18" s="151">
        <v>0</v>
      </c>
      <c r="H18" s="146" t="s">
        <v>249</v>
      </c>
    </row>
    <row r="19" spans="1:8" ht="15" customHeight="1">
      <c r="A19" s="80" t="s">
        <v>67</v>
      </c>
      <c r="B19" s="34"/>
      <c r="C19" s="79"/>
      <c r="D19" s="152"/>
      <c r="E19" s="152"/>
      <c r="F19" s="79"/>
      <c r="G19" s="151"/>
      <c r="H19" s="146"/>
    </row>
    <row r="20" spans="1:8" ht="15" customHeight="1">
      <c r="A20" s="80" t="s">
        <v>100</v>
      </c>
      <c r="B20" s="34"/>
      <c r="C20" s="79"/>
      <c r="D20" s="152"/>
      <c r="E20" s="152"/>
      <c r="F20" s="79"/>
      <c r="G20" s="151"/>
      <c r="H20" s="146"/>
    </row>
    <row r="21" spans="1:8" ht="15" customHeight="1">
      <c r="A21" s="34" t="s">
        <v>106</v>
      </c>
      <c r="B21" s="34"/>
      <c r="C21" s="79"/>
      <c r="D21" s="152"/>
      <c r="E21" s="152"/>
      <c r="F21" s="134"/>
      <c r="G21" s="151"/>
      <c r="H21" s="146"/>
    </row>
    <row r="22" spans="1:8" ht="15" customHeight="1">
      <c r="A22" s="80"/>
      <c r="B22" s="34"/>
      <c r="C22" s="79"/>
      <c r="D22" s="152"/>
      <c r="E22" s="152"/>
      <c r="F22" s="134"/>
      <c r="G22" s="151"/>
      <c r="H22" s="146"/>
    </row>
    <row r="23" spans="1:8" ht="15" customHeight="1">
      <c r="A23" s="82" t="s">
        <v>51</v>
      </c>
      <c r="B23" s="34"/>
      <c r="C23" s="147">
        <v>281.27999999999997</v>
      </c>
      <c r="D23" s="148">
        <v>300</v>
      </c>
      <c r="E23" s="149">
        <f>(12.5*12)*2</f>
        <v>300</v>
      </c>
      <c r="F23" s="153">
        <f>(E23/D23)-1</f>
        <v>0</v>
      </c>
      <c r="G23" s="151">
        <f>E23-D23</f>
        <v>0</v>
      </c>
      <c r="H23" s="146"/>
    </row>
    <row r="24" spans="1:8" ht="15" customHeight="1">
      <c r="A24" s="80" t="s">
        <v>67</v>
      </c>
      <c r="B24" s="34"/>
      <c r="C24" s="79"/>
      <c r="D24" s="152"/>
      <c r="E24" s="152"/>
      <c r="F24" s="150"/>
      <c r="G24" s="151"/>
      <c r="H24" s="146"/>
    </row>
    <row r="25" spans="1:8" ht="15" customHeight="1">
      <c r="A25" s="80" t="s">
        <v>146</v>
      </c>
      <c r="B25" s="34"/>
      <c r="C25" s="79"/>
      <c r="D25" s="152"/>
      <c r="E25" s="152"/>
      <c r="F25" s="150"/>
      <c r="G25" s="151"/>
      <c r="H25" s="146"/>
    </row>
    <row r="26" spans="1:8" ht="15" customHeight="1">
      <c r="A26" s="80"/>
      <c r="B26" s="34"/>
      <c r="C26" s="79"/>
      <c r="D26" s="152"/>
      <c r="E26" s="152"/>
      <c r="F26" s="150"/>
      <c r="G26" s="151"/>
      <c r="H26" s="146"/>
    </row>
    <row r="27" spans="1:8" ht="15" customHeight="1">
      <c r="A27" s="98" t="s">
        <v>52</v>
      </c>
      <c r="B27" s="34"/>
      <c r="C27" s="147">
        <v>255.6</v>
      </c>
      <c r="D27" s="148">
        <v>261.83999999999997</v>
      </c>
      <c r="E27" s="149">
        <f>10.99*24</f>
        <v>263.76</v>
      </c>
      <c r="F27" s="150">
        <f>(E27/D27)-1</f>
        <v>7.3327222731440767E-3</v>
      </c>
      <c r="G27" s="151">
        <f>E27-D27</f>
        <v>1.9200000000000159</v>
      </c>
      <c r="H27" s="146"/>
    </row>
    <row r="28" spans="1:8" ht="15" customHeight="1">
      <c r="A28" s="80" t="s">
        <v>67</v>
      </c>
      <c r="B28" s="34"/>
      <c r="C28" s="79"/>
      <c r="D28" s="152"/>
      <c r="E28" s="152"/>
      <c r="F28" s="150"/>
      <c r="G28" s="151"/>
      <c r="H28" s="146"/>
    </row>
    <row r="29" spans="1:8" ht="15" customHeight="1">
      <c r="A29" s="34" t="s">
        <v>229</v>
      </c>
      <c r="B29" s="34"/>
      <c r="C29" s="79"/>
      <c r="D29" s="152"/>
      <c r="E29" s="152"/>
      <c r="F29" s="150"/>
      <c r="G29" s="151"/>
      <c r="H29" s="146"/>
    </row>
    <row r="30" spans="1:8" ht="15" customHeight="1">
      <c r="A30" s="34" t="s">
        <v>107</v>
      </c>
      <c r="B30" s="34"/>
      <c r="C30" s="79"/>
      <c r="D30" s="152"/>
      <c r="E30" s="152"/>
      <c r="F30" s="150"/>
      <c r="G30" s="151"/>
      <c r="H30" s="146"/>
    </row>
    <row r="31" spans="1:8" ht="15" customHeight="1">
      <c r="A31" s="34"/>
      <c r="B31" s="34"/>
      <c r="C31" s="79"/>
      <c r="D31" s="152"/>
      <c r="E31" s="152"/>
      <c r="F31" s="150"/>
      <c r="G31" s="151"/>
      <c r="H31" s="146"/>
    </row>
    <row r="32" spans="1:8" ht="15" customHeight="1">
      <c r="A32" s="123" t="s">
        <v>59</v>
      </c>
      <c r="B32" s="34"/>
      <c r="C32" s="147">
        <v>210</v>
      </c>
      <c r="D32" s="148">
        <v>225</v>
      </c>
      <c r="E32" s="149">
        <f>7.5*30</f>
        <v>225</v>
      </c>
      <c r="F32" s="153">
        <f>(E32/D32)-1</f>
        <v>0</v>
      </c>
      <c r="G32" s="151">
        <f>E32-D32</f>
        <v>0</v>
      </c>
      <c r="H32" s="146"/>
    </row>
    <row r="33" spans="1:9" ht="15" customHeight="1">
      <c r="A33" s="34" t="s">
        <v>67</v>
      </c>
      <c r="B33" s="34"/>
      <c r="C33" s="79"/>
      <c r="D33" s="152"/>
      <c r="E33" s="152"/>
      <c r="F33" s="150"/>
      <c r="G33" s="151"/>
      <c r="H33" s="146"/>
    </row>
    <row r="34" spans="1:9" ht="15" customHeight="1">
      <c r="A34" s="34" t="s">
        <v>114</v>
      </c>
      <c r="B34" s="34"/>
      <c r="C34" s="79"/>
      <c r="D34" s="152"/>
      <c r="E34" s="152"/>
      <c r="F34" s="150"/>
      <c r="G34" s="151"/>
      <c r="H34" s="146"/>
    </row>
    <row r="35" spans="1:9" ht="15" customHeight="1">
      <c r="A35" s="34" t="s">
        <v>106</v>
      </c>
      <c r="B35" s="34"/>
      <c r="C35" s="79"/>
      <c r="D35" s="152"/>
      <c r="E35" s="152"/>
      <c r="F35" s="150"/>
      <c r="G35" s="151"/>
      <c r="H35" s="146"/>
    </row>
    <row r="36" spans="1:9" ht="15" customHeight="1">
      <c r="A36" s="80"/>
      <c r="B36" s="34"/>
      <c r="C36" s="79"/>
      <c r="D36" s="152"/>
      <c r="E36" s="152"/>
      <c r="F36" s="150"/>
      <c r="G36" s="151"/>
      <c r="H36" s="146"/>
    </row>
    <row r="37" spans="1:9" ht="15" customHeight="1">
      <c r="A37" s="52" t="s">
        <v>6</v>
      </c>
      <c r="B37" s="34"/>
      <c r="C37" s="147">
        <v>200.4</v>
      </c>
      <c r="D37" s="148">
        <v>241.2</v>
      </c>
      <c r="E37" s="149">
        <f>(15.01*9)*2</f>
        <v>270.18</v>
      </c>
      <c r="F37" s="150">
        <f>(E37/D37)-1</f>
        <v>0.12014925373134333</v>
      </c>
      <c r="G37" s="151">
        <f>E37-D37</f>
        <v>28.980000000000018</v>
      </c>
      <c r="H37" s="146"/>
    </row>
    <row r="38" spans="1:9" ht="15" customHeight="1">
      <c r="A38" s="80" t="s">
        <v>67</v>
      </c>
      <c r="B38" s="34"/>
      <c r="C38" s="34"/>
      <c r="D38" s="154"/>
      <c r="E38" s="154"/>
      <c r="F38" s="150"/>
      <c r="G38" s="151"/>
      <c r="H38" s="146"/>
    </row>
    <row r="39" spans="1:9" ht="15" customHeight="1">
      <c r="A39" s="34" t="s">
        <v>231</v>
      </c>
      <c r="B39" s="34"/>
      <c r="C39" s="34"/>
      <c r="D39" s="154"/>
      <c r="E39" s="154"/>
      <c r="F39" s="150"/>
      <c r="G39" s="151"/>
      <c r="H39" s="146"/>
    </row>
    <row r="40" spans="1:9" ht="15" customHeight="1">
      <c r="A40" s="34" t="s">
        <v>235</v>
      </c>
      <c r="B40" s="34"/>
      <c r="C40" s="34"/>
      <c r="D40" s="154"/>
      <c r="E40" s="154"/>
      <c r="F40" s="150"/>
      <c r="G40" s="151"/>
      <c r="H40" s="146"/>
    </row>
    <row r="41" spans="1:9" ht="15" customHeight="1">
      <c r="A41" s="80"/>
      <c r="B41" s="34"/>
      <c r="C41" s="34"/>
      <c r="D41" s="154"/>
      <c r="E41" s="154"/>
      <c r="F41" s="150"/>
      <c r="G41" s="151"/>
      <c r="H41" s="146"/>
    </row>
    <row r="42" spans="1:9" ht="15" customHeight="1">
      <c r="A42" s="158" t="s">
        <v>53</v>
      </c>
      <c r="B42" s="34"/>
      <c r="C42" s="147">
        <v>315.12</v>
      </c>
      <c r="D42" s="148">
        <v>324.48</v>
      </c>
      <c r="E42" s="149">
        <f>13.925*24</f>
        <v>334.20000000000005</v>
      </c>
      <c r="F42" s="153">
        <f>(E42/D42)-1</f>
        <v>2.9955621301775315E-2</v>
      </c>
      <c r="G42" s="151">
        <f>E42-D42</f>
        <v>9.7200000000000273</v>
      </c>
      <c r="H42" s="146"/>
    </row>
    <row r="43" spans="1:9" ht="15" customHeight="1">
      <c r="A43" s="80" t="s">
        <v>67</v>
      </c>
      <c r="B43" s="34"/>
      <c r="C43" s="79"/>
      <c r="D43" s="152"/>
      <c r="E43" s="152"/>
      <c r="F43" s="150"/>
      <c r="G43" s="151"/>
      <c r="H43" s="146"/>
    </row>
    <row r="44" spans="1:9" ht="15" customHeight="1">
      <c r="A44" s="34" t="s">
        <v>230</v>
      </c>
      <c r="B44" s="34"/>
      <c r="C44" s="79"/>
      <c r="D44" s="152"/>
      <c r="E44" s="152"/>
      <c r="F44" s="150"/>
      <c r="G44" s="151"/>
      <c r="H44" s="146"/>
    </row>
    <row r="45" spans="1:9" ht="15" customHeight="1">
      <c r="A45" s="34" t="s">
        <v>107</v>
      </c>
      <c r="B45" s="34"/>
      <c r="C45" s="79"/>
      <c r="D45" s="152"/>
      <c r="E45" s="152"/>
      <c r="F45" s="150"/>
      <c r="G45" s="151"/>
      <c r="H45" s="146"/>
    </row>
    <row r="46" spans="1:9" ht="15" customHeight="1">
      <c r="A46" s="80"/>
      <c r="B46" s="34"/>
      <c r="C46" s="79"/>
      <c r="D46" s="152"/>
      <c r="E46" s="152"/>
      <c r="F46" s="150"/>
      <c r="G46" s="151"/>
      <c r="H46" s="146"/>
      <c r="I46" s="37" t="s">
        <v>34</v>
      </c>
    </row>
    <row r="47" spans="1:9" ht="15" customHeight="1">
      <c r="A47" s="123" t="s">
        <v>7</v>
      </c>
      <c r="B47" s="34"/>
      <c r="C47" s="147">
        <v>251.2</v>
      </c>
      <c r="D47" s="148">
        <v>257.60000000000002</v>
      </c>
      <c r="E47" s="149">
        <f>8.3*32</f>
        <v>265.60000000000002</v>
      </c>
      <c r="F47" s="150">
        <f>(E47/D47)-1</f>
        <v>3.105590062111796E-2</v>
      </c>
      <c r="G47" s="151">
        <f>E47-D47</f>
        <v>8</v>
      </c>
      <c r="H47" s="146"/>
    </row>
    <row r="48" spans="1:9" ht="15" customHeight="1">
      <c r="A48" s="80" t="s">
        <v>67</v>
      </c>
      <c r="B48" s="34"/>
      <c r="C48" s="79"/>
      <c r="D48" s="152"/>
      <c r="E48" s="152"/>
      <c r="F48" s="150"/>
      <c r="G48" s="34"/>
      <c r="H48" s="146"/>
    </row>
    <row r="49" spans="1:10" ht="15" customHeight="1">
      <c r="A49" s="34" t="s">
        <v>237</v>
      </c>
      <c r="B49" s="34"/>
      <c r="C49" s="79"/>
      <c r="D49" s="152"/>
      <c r="E49" s="152"/>
      <c r="F49" s="150"/>
      <c r="G49" s="34"/>
      <c r="H49" s="146"/>
    </row>
    <row r="50" spans="1:10" ht="15" customHeight="1">
      <c r="A50" s="34" t="s">
        <v>108</v>
      </c>
      <c r="B50" s="34"/>
      <c r="C50" s="79"/>
      <c r="D50" s="152"/>
      <c r="E50" s="152"/>
      <c r="F50" s="150"/>
      <c r="G50" s="34"/>
      <c r="H50" s="146"/>
    </row>
    <row r="51" spans="1:10" ht="15" customHeight="1">
      <c r="A51" s="34"/>
      <c r="B51" s="34"/>
      <c r="C51" s="79"/>
      <c r="D51" s="152"/>
      <c r="E51" s="152"/>
      <c r="F51" s="159"/>
      <c r="G51" s="34"/>
      <c r="H51" s="146"/>
    </row>
    <row r="52" spans="1:10" ht="15" customHeight="1">
      <c r="A52" s="35" t="s">
        <v>56</v>
      </c>
      <c r="B52" s="34"/>
      <c r="C52" s="160">
        <f>AVERAGE(C47,C42,C37,C27,C23,C8,C18,C32)</f>
        <v>242.97375</v>
      </c>
      <c r="D52" s="143">
        <f>AVERAGE(D47,D42,D37,D32,D27,D23,D18,D13,D8)</f>
        <v>252.43333333333328</v>
      </c>
      <c r="E52" s="143">
        <f>AVERAGE(E47,E42,E37,E32,E27,E23,E18,E13,E8)</f>
        <v>264.14444444444439</v>
      </c>
      <c r="F52" s="159">
        <f>(E52/D52)-1</f>
        <v>4.6392887010871853E-2</v>
      </c>
      <c r="G52" s="161">
        <f>E52-D52</f>
        <v>11.711111111111109</v>
      </c>
      <c r="H52" s="146"/>
      <c r="J52" s="162"/>
    </row>
    <row r="53" spans="1:10" ht="15" customHeight="1">
      <c r="A53" s="35" t="s">
        <v>43</v>
      </c>
      <c r="B53" s="34"/>
      <c r="C53" s="147">
        <f>C42</f>
        <v>315.12</v>
      </c>
      <c r="D53" s="149">
        <f>D42</f>
        <v>324.48</v>
      </c>
      <c r="E53" s="149">
        <f>E42</f>
        <v>334.20000000000005</v>
      </c>
      <c r="F53" s="159"/>
      <c r="G53" s="34"/>
      <c r="H53" s="146"/>
    </row>
    <row r="54" spans="1:10" ht="15" customHeight="1">
      <c r="A54" s="34"/>
      <c r="B54" s="34"/>
      <c r="C54" s="34"/>
      <c r="D54" s="154"/>
      <c r="E54" s="154"/>
      <c r="F54" s="159"/>
      <c r="G54" s="34"/>
      <c r="H54" s="34"/>
    </row>
    <row r="55" spans="1:10" ht="15" customHeight="1">
      <c r="A55" s="34" t="s">
        <v>132</v>
      </c>
      <c r="B55" s="34"/>
      <c r="C55" s="34"/>
      <c r="D55" s="154"/>
      <c r="E55" s="154"/>
      <c r="F55" s="43"/>
      <c r="G55" s="34"/>
      <c r="H55" s="34"/>
    </row>
    <row r="56" spans="1:10" ht="15" customHeight="1">
      <c r="A56" s="34" t="s">
        <v>131</v>
      </c>
      <c r="B56" s="34"/>
      <c r="C56" s="34"/>
      <c r="D56" s="154"/>
      <c r="E56" s="154"/>
      <c r="F56" s="43"/>
      <c r="G56" s="34"/>
      <c r="H56" s="34"/>
    </row>
    <row r="57" spans="1:10" ht="15" customHeight="1">
      <c r="A57" s="34"/>
      <c r="B57" s="34"/>
      <c r="C57" s="34"/>
      <c r="D57" s="154"/>
      <c r="E57" s="154"/>
      <c r="F57" s="79"/>
      <c r="G57" s="34"/>
      <c r="H57" s="34"/>
    </row>
    <row r="58" spans="1:10" ht="15" customHeight="1">
      <c r="A58" s="123" t="s">
        <v>133</v>
      </c>
      <c r="B58" s="34"/>
      <c r="C58" s="34"/>
      <c r="D58" s="154"/>
      <c r="E58" s="154"/>
      <c r="F58" s="79"/>
      <c r="G58" s="34"/>
      <c r="H58" s="34"/>
    </row>
    <row r="59" spans="1:10" ht="15" customHeight="1">
      <c r="A59" s="34" t="s">
        <v>109</v>
      </c>
      <c r="B59" s="34"/>
      <c r="C59" s="163">
        <v>96.48</v>
      </c>
      <c r="D59" s="143">
        <v>115.2</v>
      </c>
      <c r="E59" s="143">
        <f>4.9*24</f>
        <v>117.60000000000001</v>
      </c>
      <c r="F59" s="159">
        <f>(E59/D59)-1</f>
        <v>2.0833333333333481E-2</v>
      </c>
      <c r="G59" s="151">
        <f>E59-D59</f>
        <v>2.4000000000000057</v>
      </c>
      <c r="H59" s="34"/>
    </row>
    <row r="60" spans="1:10" ht="15" customHeight="1">
      <c r="A60" s="34" t="s">
        <v>232</v>
      </c>
      <c r="B60" s="34"/>
      <c r="C60" s="34"/>
      <c r="D60" s="154"/>
      <c r="E60" s="154"/>
      <c r="F60" s="79"/>
      <c r="G60" s="34"/>
      <c r="H60" s="34"/>
    </row>
    <row r="61" spans="1:10" ht="15" customHeight="1">
      <c r="A61" s="37" t="s">
        <v>107</v>
      </c>
    </row>
  </sheetData>
  <phoneticPr fontId="0" type="noConversion"/>
  <printOptions horizontalCentered="1"/>
  <pageMargins left="0.7" right="0.7" top="0.75" bottom="0.75" header="0.3" footer="0.3"/>
  <pageSetup scale="77" orientation="portrait" r:id="rId1"/>
  <headerFooter alignWithMargins="0">
    <oddHeader xml:space="preserve">&amp;R&amp;"-,Regular"&amp;12Attachment 2B&amp;"Times New Roman,Regular"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0"/>
  <sheetViews>
    <sheetView topLeftCell="A13" zoomScaleNormal="100" workbookViewId="0">
      <selection activeCell="U2" sqref="U2"/>
    </sheetView>
  </sheetViews>
  <sheetFormatPr defaultColWidth="9.140625" defaultRowHeight="18.75"/>
  <cols>
    <col min="1" max="1" width="51.5703125" style="164" customWidth="1"/>
    <col min="2" max="2" width="5.140625" style="164" hidden="1" customWidth="1"/>
    <col min="3" max="3" width="10.7109375" style="165" bestFit="1" customWidth="1"/>
    <col min="4" max="4" width="10.28515625" style="165" bestFit="1" customWidth="1"/>
    <col min="5" max="5" width="8.140625" style="164" bestFit="1" customWidth="1"/>
    <col min="6" max="6" width="8.140625" style="38" bestFit="1" customWidth="1"/>
    <col min="7" max="16384" width="9.140625" style="164"/>
  </cols>
  <sheetData>
    <row r="1" spans="1:10">
      <c r="A1" s="38" t="s">
        <v>212</v>
      </c>
    </row>
    <row r="2" spans="1:10">
      <c r="A2" s="38" t="s">
        <v>0</v>
      </c>
      <c r="B2" s="166"/>
      <c r="C2" s="167"/>
      <c r="D2" s="167"/>
      <c r="E2" s="167"/>
    </row>
    <row r="3" spans="1:10">
      <c r="A3" s="168" t="s">
        <v>217</v>
      </c>
      <c r="B3" s="166"/>
      <c r="C3" s="167"/>
      <c r="D3" s="167"/>
      <c r="E3" s="167"/>
    </row>
    <row r="4" spans="1:10">
      <c r="A4" s="34"/>
      <c r="B4" s="75"/>
      <c r="C4" s="169" t="s">
        <v>1</v>
      </c>
      <c r="D4" s="169" t="s">
        <v>2</v>
      </c>
      <c r="E4" s="169" t="s">
        <v>39</v>
      </c>
      <c r="F4" s="170" t="s">
        <v>153</v>
      </c>
    </row>
    <row r="5" spans="1:10">
      <c r="A5" s="171"/>
      <c r="B5" s="34"/>
      <c r="C5" s="172" t="s">
        <v>160</v>
      </c>
      <c r="D5" s="172" t="s">
        <v>216</v>
      </c>
      <c r="E5" s="172" t="s">
        <v>57</v>
      </c>
      <c r="F5" s="172" t="s">
        <v>57</v>
      </c>
    </row>
    <row r="6" spans="1:10">
      <c r="A6" s="80" t="s">
        <v>34</v>
      </c>
      <c r="B6" s="43"/>
      <c r="C6" s="43"/>
      <c r="D6" s="43"/>
      <c r="E6" s="34"/>
      <c r="F6" s="35"/>
    </row>
    <row r="7" spans="1:10">
      <c r="A7" s="173" t="s">
        <v>68</v>
      </c>
      <c r="B7" s="174">
        <v>150</v>
      </c>
      <c r="C7" s="175">
        <v>174</v>
      </c>
      <c r="D7" s="147">
        <f>5.8*30</f>
        <v>174</v>
      </c>
      <c r="E7" s="159">
        <f>D7/C7-1</f>
        <v>0</v>
      </c>
      <c r="F7" s="176">
        <f>D7-C7</f>
        <v>0</v>
      </c>
      <c r="I7" s="177"/>
      <c r="J7" s="177"/>
    </row>
    <row r="8" spans="1:10">
      <c r="A8" s="80" t="s">
        <v>54</v>
      </c>
      <c r="B8" s="34"/>
      <c r="C8" s="79"/>
      <c r="D8" s="79"/>
      <c r="E8" s="34"/>
      <c r="F8" s="176"/>
      <c r="I8" s="165"/>
      <c r="J8" s="165"/>
    </row>
    <row r="9" spans="1:10">
      <c r="A9" s="80" t="s">
        <v>257</v>
      </c>
      <c r="B9" s="34"/>
      <c r="C9" s="79"/>
      <c r="D9" s="79"/>
      <c r="E9" s="34"/>
      <c r="F9" s="176"/>
      <c r="I9" s="165"/>
      <c r="J9" s="165"/>
    </row>
    <row r="10" spans="1:10">
      <c r="A10" s="80"/>
      <c r="B10" s="34"/>
      <c r="C10" s="79"/>
      <c r="D10" s="79"/>
      <c r="E10" s="34"/>
      <c r="F10" s="176"/>
      <c r="I10" s="165"/>
      <c r="J10" s="165"/>
    </row>
    <row r="11" spans="1:10">
      <c r="A11" s="178" t="s">
        <v>52</v>
      </c>
      <c r="B11" s="174">
        <v>60</v>
      </c>
      <c r="C11" s="175">
        <v>60</v>
      </c>
      <c r="D11" s="147">
        <f>2.5*24</f>
        <v>60</v>
      </c>
      <c r="E11" s="159">
        <f>(D11/C11)-1</f>
        <v>0</v>
      </c>
      <c r="F11" s="176">
        <v>0</v>
      </c>
      <c r="I11" s="177"/>
      <c r="J11" s="177"/>
    </row>
    <row r="12" spans="1:10">
      <c r="A12" s="80" t="s">
        <v>55</v>
      </c>
      <c r="B12" s="35"/>
      <c r="C12" s="79"/>
      <c r="D12" s="43"/>
      <c r="E12" s="159"/>
      <c r="F12" s="176"/>
      <c r="I12" s="179"/>
      <c r="J12" s="179"/>
    </row>
    <row r="13" spans="1:10">
      <c r="A13" s="80" t="s">
        <v>163</v>
      </c>
      <c r="B13" s="35"/>
      <c r="C13" s="79"/>
      <c r="D13" s="43"/>
      <c r="E13" s="159"/>
      <c r="F13" s="176"/>
      <c r="I13" s="179"/>
      <c r="J13" s="179"/>
    </row>
    <row r="14" spans="1:10">
      <c r="A14" s="80" t="s">
        <v>164</v>
      </c>
      <c r="B14" s="35"/>
      <c r="C14" s="79"/>
      <c r="D14" s="43"/>
      <c r="E14" s="159"/>
      <c r="F14" s="176"/>
      <c r="I14" s="179"/>
      <c r="J14" s="179"/>
    </row>
    <row r="15" spans="1:10">
      <c r="A15" s="80"/>
      <c r="B15" s="34"/>
      <c r="C15" s="79"/>
      <c r="D15" s="79"/>
      <c r="E15" s="159"/>
      <c r="F15" s="176"/>
      <c r="I15" s="165"/>
      <c r="J15" s="165"/>
    </row>
    <row r="16" spans="1:10">
      <c r="A16" s="173" t="s">
        <v>51</v>
      </c>
      <c r="B16" s="174">
        <v>197.76</v>
      </c>
      <c r="C16" s="175">
        <v>231.6</v>
      </c>
      <c r="D16" s="147">
        <f>10.78*24</f>
        <v>258.71999999999997</v>
      </c>
      <c r="E16" s="159">
        <f>(D16/C16)-1</f>
        <v>0.11709844559585481</v>
      </c>
      <c r="F16" s="176">
        <f>D16-C16</f>
        <v>27.119999999999976</v>
      </c>
      <c r="I16" s="177"/>
      <c r="J16" s="177"/>
    </row>
    <row r="17" spans="1:11">
      <c r="A17" s="80" t="s">
        <v>54</v>
      </c>
      <c r="B17" s="34"/>
      <c r="C17" s="79"/>
      <c r="D17" s="79"/>
      <c r="E17" s="159"/>
      <c r="F17" s="176"/>
      <c r="I17" s="165"/>
      <c r="J17" s="165"/>
    </row>
    <row r="18" spans="1:11">
      <c r="A18" s="80" t="s">
        <v>259</v>
      </c>
      <c r="B18" s="34"/>
      <c r="C18" s="79"/>
      <c r="D18" s="79"/>
      <c r="E18" s="159"/>
      <c r="F18" s="176"/>
      <c r="I18" s="165"/>
      <c r="J18" s="165"/>
    </row>
    <row r="19" spans="1:11">
      <c r="A19" s="80"/>
      <c r="B19" s="34"/>
      <c r="C19" s="79"/>
      <c r="D19" s="79"/>
      <c r="E19" s="159"/>
      <c r="F19" s="176"/>
      <c r="I19" s="165"/>
      <c r="J19" s="165"/>
    </row>
    <row r="20" spans="1:11">
      <c r="A20" s="173" t="s">
        <v>123</v>
      </c>
      <c r="B20" s="176">
        <v>66</v>
      </c>
      <c r="C20" s="180">
        <v>120</v>
      </c>
      <c r="D20" s="147">
        <f>4*30</f>
        <v>120</v>
      </c>
      <c r="E20" s="181">
        <f>(D20/C20)-1</f>
        <v>0</v>
      </c>
      <c r="F20" s="174">
        <f>D20-C20</f>
        <v>0</v>
      </c>
      <c r="I20" s="182"/>
      <c r="J20" s="182"/>
    </row>
    <row r="21" spans="1:11">
      <c r="A21" s="80" t="s">
        <v>54</v>
      </c>
      <c r="B21" s="35"/>
      <c r="C21" s="79"/>
      <c r="D21" s="43"/>
      <c r="E21" s="159"/>
      <c r="F21" s="176"/>
      <c r="I21" s="179"/>
      <c r="J21" s="179"/>
    </row>
    <row r="22" spans="1:11">
      <c r="A22" s="80" t="s">
        <v>258</v>
      </c>
      <c r="B22" s="35"/>
      <c r="C22" s="79"/>
      <c r="D22" s="43"/>
      <c r="E22" s="159"/>
      <c r="F22" s="176"/>
      <c r="I22" s="179"/>
      <c r="J22" s="179"/>
    </row>
    <row r="23" spans="1:11">
      <c r="A23" s="183"/>
      <c r="B23" s="35"/>
      <c r="C23" s="79"/>
      <c r="D23" s="43"/>
      <c r="E23" s="159"/>
      <c r="F23" s="176"/>
      <c r="I23" s="179"/>
      <c r="J23" s="179"/>
    </row>
    <row r="24" spans="1:11">
      <c r="A24" s="184" t="s">
        <v>7</v>
      </c>
      <c r="B24" s="174">
        <v>144</v>
      </c>
      <c r="C24" s="175">
        <v>154.08000000000001</v>
      </c>
      <c r="D24" s="175">
        <f>(6.83*12)*2</f>
        <v>163.92000000000002</v>
      </c>
      <c r="E24" s="159">
        <f>(D24/C24)-1</f>
        <v>6.3862928348909609E-2</v>
      </c>
      <c r="F24" s="176">
        <f>D24-C24</f>
        <v>9.8400000000000034</v>
      </c>
      <c r="I24" s="177"/>
      <c r="J24" s="177"/>
    </row>
    <row r="25" spans="1:11">
      <c r="A25" s="80" t="s">
        <v>54</v>
      </c>
      <c r="B25" s="35"/>
      <c r="C25" s="79"/>
      <c r="D25" s="43"/>
      <c r="E25" s="159"/>
      <c r="F25" s="176"/>
    </row>
    <row r="26" spans="1:11">
      <c r="A26" s="80" t="s">
        <v>260</v>
      </c>
      <c r="B26" s="176"/>
      <c r="C26" s="180"/>
      <c r="D26" s="160"/>
      <c r="E26" s="159"/>
      <c r="F26" s="176"/>
      <c r="I26" s="185"/>
      <c r="J26" s="185"/>
      <c r="K26" s="186"/>
    </row>
    <row r="27" spans="1:11">
      <c r="A27" s="80"/>
      <c r="B27" s="34"/>
      <c r="C27" s="79"/>
      <c r="D27" s="79"/>
      <c r="E27" s="159"/>
      <c r="F27" s="176"/>
    </row>
    <row r="28" spans="1:11">
      <c r="A28" s="183" t="s">
        <v>50</v>
      </c>
      <c r="B28" s="176">
        <f>AVERAGE(B24,B20,B16,B11,B7)</f>
        <v>123.55199999999999</v>
      </c>
      <c r="C28" s="180">
        <f>AVERAGE(C24,C20,C16,C11,C7)</f>
        <v>147.93600000000001</v>
      </c>
      <c r="D28" s="147">
        <f>AVERAGE(D24,D20,D16,D11,D7)</f>
        <v>155.328</v>
      </c>
      <c r="E28" s="181">
        <f>(D28/C28)-1</f>
        <v>4.9967553536664377E-2</v>
      </c>
      <c r="F28" s="174">
        <f>D28-C28</f>
        <v>7.3919999999999959</v>
      </c>
    </row>
    <row r="29" spans="1:11">
      <c r="A29" s="80"/>
      <c r="B29" s="34"/>
      <c r="C29" s="79"/>
      <c r="D29" s="79"/>
      <c r="E29" s="146"/>
      <c r="F29" s="35"/>
    </row>
    <row r="30" spans="1:11">
      <c r="D30" s="187"/>
    </row>
  </sheetData>
  <printOptions horizontalCentered="1"/>
  <pageMargins left="0.7" right="0.7" top="0.75" bottom="0.75" header="0.3" footer="0.3"/>
  <pageSetup orientation="portrait" r:id="rId1"/>
  <headerFooter>
    <oddHeader xml:space="preserve">&amp;R&amp;"-,Regular"Attachment  2C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M18"/>
  <sheetViews>
    <sheetView zoomScaleNormal="100" zoomScaleSheetLayoutView="90" workbookViewId="0">
      <selection activeCell="B18" sqref="B18"/>
    </sheetView>
  </sheetViews>
  <sheetFormatPr defaultRowHeight="15" customHeight="1"/>
  <cols>
    <col min="1" max="1" width="41.28515625" style="34" customWidth="1"/>
    <col min="2" max="2" width="10.28515625" style="34" bestFit="1" customWidth="1"/>
    <col min="3" max="5" width="10" style="34" bestFit="1" customWidth="1"/>
    <col min="6" max="7" width="9.140625" style="34" bestFit="1" customWidth="1"/>
    <col min="8" max="8" width="76.85546875" style="79" bestFit="1" customWidth="1"/>
    <col min="9" max="16384" width="9.140625" style="34"/>
  </cols>
  <sheetData>
    <row r="1" spans="1:13" ht="15" customHeight="1">
      <c r="A1" s="215" t="s">
        <v>212</v>
      </c>
      <c r="B1" s="216"/>
      <c r="C1" s="216"/>
      <c r="D1" s="216"/>
      <c r="E1" s="216"/>
      <c r="F1" s="216"/>
      <c r="G1" s="216"/>
    </row>
    <row r="2" spans="1:13" ht="15" customHeight="1">
      <c r="A2" s="215" t="s">
        <v>0</v>
      </c>
      <c r="B2" s="216"/>
      <c r="C2" s="216"/>
      <c r="D2" s="216"/>
      <c r="E2" s="216"/>
      <c r="F2" s="216"/>
      <c r="G2" s="216"/>
      <c r="H2" s="144"/>
    </row>
    <row r="3" spans="1:13" ht="15" customHeight="1" thickBot="1">
      <c r="A3" s="217" t="s">
        <v>218</v>
      </c>
      <c r="B3" s="218"/>
      <c r="C3" s="218"/>
      <c r="D3" s="218"/>
      <c r="E3" s="218"/>
      <c r="F3" s="218"/>
      <c r="G3" s="218"/>
      <c r="H3" s="219"/>
      <c r="I3" s="220"/>
      <c r="J3" s="221"/>
      <c r="K3" s="222"/>
      <c r="L3" s="223"/>
      <c r="M3" s="224"/>
    </row>
    <row r="4" spans="1:13" ht="15" customHeight="1" thickBot="1">
      <c r="A4" s="225"/>
      <c r="B4" s="226"/>
      <c r="C4" s="227" t="s">
        <v>161</v>
      </c>
      <c r="D4" s="227" t="s">
        <v>219</v>
      </c>
      <c r="E4" s="227"/>
      <c r="F4" s="227" t="s">
        <v>161</v>
      </c>
      <c r="G4" s="227" t="s">
        <v>219</v>
      </c>
      <c r="H4" s="224"/>
      <c r="I4" s="220"/>
      <c r="J4" s="221"/>
      <c r="K4" s="222"/>
      <c r="L4" s="223"/>
      <c r="M4" s="224"/>
    </row>
    <row r="5" spans="1:13" ht="15" customHeight="1" thickBot="1">
      <c r="A5" s="228" t="s">
        <v>79</v>
      </c>
      <c r="B5" s="229"/>
      <c r="C5" s="230" t="s">
        <v>110</v>
      </c>
      <c r="D5" s="230" t="s">
        <v>110</v>
      </c>
      <c r="E5" s="230" t="s">
        <v>113</v>
      </c>
      <c r="F5" s="230" t="s">
        <v>111</v>
      </c>
      <c r="G5" s="230" t="s">
        <v>111</v>
      </c>
      <c r="H5" s="227" t="s">
        <v>87</v>
      </c>
      <c r="I5" s="220"/>
      <c r="J5" s="221"/>
      <c r="K5" s="222"/>
      <c r="L5" s="223"/>
      <c r="M5" s="224"/>
    </row>
    <row r="6" spans="1:13" ht="15" customHeight="1">
      <c r="A6" s="246" t="s">
        <v>78</v>
      </c>
      <c r="B6" s="226" t="s">
        <v>81</v>
      </c>
      <c r="C6" s="231">
        <v>3.6</v>
      </c>
      <c r="D6" s="232">
        <v>3.8</v>
      </c>
      <c r="E6" s="233">
        <f>D6/C6-1</f>
        <v>5.555555555555558E-2</v>
      </c>
      <c r="F6" s="234">
        <f>C6*30</f>
        <v>108</v>
      </c>
      <c r="G6" s="234">
        <f>D6*30</f>
        <v>114</v>
      </c>
      <c r="H6" s="235" t="s">
        <v>126</v>
      </c>
      <c r="I6" s="220"/>
      <c r="J6" s="221"/>
      <c r="K6" s="222"/>
      <c r="L6" s="223"/>
      <c r="M6" s="224"/>
    </row>
    <row r="7" spans="1:13" ht="15" customHeight="1">
      <c r="A7" s="246" t="s">
        <v>80</v>
      </c>
      <c r="B7" s="226" t="s">
        <v>81</v>
      </c>
      <c r="C7" s="234">
        <v>4.45</v>
      </c>
      <c r="D7" s="236">
        <v>4.45</v>
      </c>
      <c r="E7" s="233">
        <f>D7/C7-1</f>
        <v>0</v>
      </c>
      <c r="F7" s="234">
        <f t="shared" ref="F7:G10" si="0">C7*30</f>
        <v>133.5</v>
      </c>
      <c r="G7" s="234">
        <f t="shared" si="0"/>
        <v>133.5</v>
      </c>
      <c r="H7" s="237" t="s">
        <v>129</v>
      </c>
      <c r="I7" s="220"/>
      <c r="J7" s="221"/>
      <c r="K7" s="222"/>
      <c r="L7" s="223"/>
      <c r="M7" s="224"/>
    </row>
    <row r="8" spans="1:13" ht="15" customHeight="1">
      <c r="A8" s="246" t="s">
        <v>59</v>
      </c>
      <c r="B8" s="226" t="s">
        <v>83</v>
      </c>
      <c r="C8" s="234">
        <v>9.5</v>
      </c>
      <c r="D8" s="232">
        <v>9.5</v>
      </c>
      <c r="E8" s="233">
        <f>D8/C8-1</f>
        <v>0</v>
      </c>
      <c r="F8" s="234">
        <f t="shared" si="0"/>
        <v>285</v>
      </c>
      <c r="G8" s="234">
        <f t="shared" si="0"/>
        <v>285</v>
      </c>
      <c r="H8" s="238" t="s">
        <v>141</v>
      </c>
      <c r="I8" s="220"/>
      <c r="J8" s="221"/>
      <c r="K8" s="222"/>
      <c r="L8" s="223"/>
      <c r="M8" s="224"/>
    </row>
    <row r="9" spans="1:13" ht="15" customHeight="1">
      <c r="A9" s="250" t="s">
        <v>115</v>
      </c>
      <c r="B9" s="239" t="s">
        <v>82</v>
      </c>
      <c r="C9" s="240">
        <v>9.33</v>
      </c>
      <c r="D9" s="241">
        <v>9.33</v>
      </c>
      <c r="E9" s="233">
        <f>D9/C9-1</f>
        <v>0</v>
      </c>
      <c r="F9" s="234">
        <f t="shared" si="0"/>
        <v>279.89999999999998</v>
      </c>
      <c r="G9" s="234">
        <f t="shared" si="0"/>
        <v>279.89999999999998</v>
      </c>
      <c r="H9" s="242" t="s">
        <v>127</v>
      </c>
      <c r="I9" s="243"/>
      <c r="J9" s="221"/>
      <c r="K9" s="222"/>
      <c r="L9" s="223"/>
      <c r="M9" s="224"/>
    </row>
    <row r="10" spans="1:13" ht="15" customHeight="1">
      <c r="A10" s="250" t="s">
        <v>99</v>
      </c>
      <c r="B10" s="226" t="s">
        <v>83</v>
      </c>
      <c r="C10" s="240">
        <v>12</v>
      </c>
      <c r="D10" s="244">
        <v>12</v>
      </c>
      <c r="E10" s="233">
        <f>D10/C10-1</f>
        <v>0</v>
      </c>
      <c r="F10" s="234">
        <f t="shared" si="0"/>
        <v>360</v>
      </c>
      <c r="G10" s="234">
        <f t="shared" si="0"/>
        <v>360</v>
      </c>
      <c r="H10" s="235" t="s">
        <v>128</v>
      </c>
      <c r="I10" s="243"/>
      <c r="J10" s="221"/>
      <c r="K10" s="222"/>
      <c r="L10" s="223"/>
      <c r="M10" s="224"/>
    </row>
    <row r="11" spans="1:13" ht="15" customHeight="1">
      <c r="A11" s="243"/>
      <c r="B11" s="226"/>
      <c r="C11" s="240"/>
      <c r="D11" s="240"/>
      <c r="E11" s="233"/>
      <c r="F11" s="234"/>
      <c r="G11" s="245"/>
      <c r="H11" s="230"/>
      <c r="I11" s="243"/>
      <c r="J11" s="221"/>
      <c r="K11" s="222"/>
      <c r="L11" s="223"/>
      <c r="M11" s="224"/>
    </row>
    <row r="12" spans="1:13" ht="15" customHeight="1" thickBot="1">
      <c r="A12" s="225"/>
      <c r="B12" s="226"/>
      <c r="C12" s="234"/>
      <c r="D12" s="234"/>
      <c r="E12" s="233"/>
      <c r="F12" s="234"/>
      <c r="G12" s="234"/>
      <c r="H12" s="224"/>
      <c r="I12" s="220"/>
      <c r="J12" s="221"/>
      <c r="K12" s="222"/>
      <c r="L12" s="223"/>
      <c r="M12" s="224"/>
    </row>
    <row r="13" spans="1:13" ht="15" customHeight="1" thickBot="1">
      <c r="A13" s="228" t="s">
        <v>84</v>
      </c>
      <c r="B13" s="223"/>
      <c r="C13" s="234" t="s">
        <v>112</v>
      </c>
      <c r="D13" s="234" t="s">
        <v>112</v>
      </c>
      <c r="E13" s="233" t="s">
        <v>113</v>
      </c>
      <c r="F13" s="234" t="s">
        <v>111</v>
      </c>
      <c r="G13" s="234" t="s">
        <v>111</v>
      </c>
      <c r="H13" s="227" t="s">
        <v>87</v>
      </c>
      <c r="I13" s="220"/>
      <c r="J13" s="221"/>
      <c r="K13" s="222"/>
      <c r="L13" s="223"/>
      <c r="M13" s="224"/>
    </row>
    <row r="14" spans="1:13" ht="15" customHeight="1">
      <c r="A14" s="246" t="s">
        <v>85</v>
      </c>
      <c r="B14" s="226" t="s">
        <v>82</v>
      </c>
      <c r="C14" s="234">
        <v>2.5</v>
      </c>
      <c r="D14" s="234">
        <v>2.5</v>
      </c>
      <c r="E14" s="233">
        <f>D14/C14-1</f>
        <v>0</v>
      </c>
      <c r="F14" s="231">
        <v>265</v>
      </c>
      <c r="G14" s="231">
        <v>265</v>
      </c>
      <c r="H14" s="247" t="s">
        <v>130</v>
      </c>
      <c r="I14" s="220"/>
      <c r="J14" s="223"/>
      <c r="K14" s="222"/>
      <c r="L14" s="223"/>
      <c r="M14" s="224"/>
    </row>
    <row r="15" spans="1:13" ht="15" customHeight="1">
      <c r="A15" s="250" t="s">
        <v>86</v>
      </c>
      <c r="B15" s="239" t="s">
        <v>82</v>
      </c>
      <c r="C15" s="240">
        <v>12</v>
      </c>
      <c r="D15" s="244">
        <v>12</v>
      </c>
      <c r="E15" s="233">
        <f>D15/C15-1</f>
        <v>0</v>
      </c>
      <c r="F15" s="240">
        <v>500</v>
      </c>
      <c r="G15" s="240">
        <v>500</v>
      </c>
      <c r="H15" s="248" t="s">
        <v>145</v>
      </c>
      <c r="I15" s="239"/>
      <c r="J15" s="239"/>
      <c r="K15" s="239"/>
      <c r="L15" s="243"/>
      <c r="M15" s="239"/>
    </row>
    <row r="16" spans="1:13" ht="15" customHeight="1">
      <c r="A16" s="239"/>
      <c r="B16" s="239"/>
      <c r="C16" s="239"/>
      <c r="D16" s="239"/>
      <c r="E16" s="239"/>
      <c r="F16" s="239"/>
      <c r="G16" s="239"/>
      <c r="H16" s="249"/>
      <c r="I16" s="239"/>
      <c r="J16" s="239"/>
      <c r="K16" s="239"/>
      <c r="L16" s="239"/>
      <c r="M16" s="239"/>
    </row>
    <row r="17" spans="1:7" ht="15" customHeight="1">
      <c r="F17" s="80"/>
      <c r="G17" s="80"/>
    </row>
    <row r="18" spans="1:7" ht="15" customHeight="1">
      <c r="A18" s="183" t="s">
        <v>88</v>
      </c>
      <c r="B18" s="80"/>
      <c r="C18" s="80"/>
      <c r="D18" s="80"/>
    </row>
  </sheetData>
  <printOptions horizontalCentered="1"/>
  <pageMargins left="0.7" right="0.7" top="0.75" bottom="0.75" header="0.3" footer="0.3"/>
  <pageSetup scale="70" fitToHeight="0" orientation="landscape" r:id="rId1"/>
  <headerFooter>
    <oddHeader>&amp;R&amp;"-,Regular"Attachment 2D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autoPageBreaks="0" fitToPage="1"/>
  </sheetPr>
  <dimension ref="A1:J103"/>
  <sheetViews>
    <sheetView view="pageBreakPreview" topLeftCell="A64" zoomScaleNormal="60" zoomScaleSheetLayoutView="100" workbookViewId="0">
      <selection activeCell="F88" sqref="F88"/>
    </sheetView>
  </sheetViews>
  <sheetFormatPr defaultColWidth="9.140625" defaultRowHeight="15.75"/>
  <cols>
    <col min="1" max="1" width="65" style="34" bestFit="1" customWidth="1"/>
    <col min="2" max="3" width="15.42578125" style="34" bestFit="1" customWidth="1"/>
    <col min="4" max="4" width="8.140625" style="34" bestFit="1" customWidth="1"/>
    <col min="5" max="16384" width="9.140625" style="34"/>
  </cols>
  <sheetData>
    <row r="1" spans="1:10" ht="18.75">
      <c r="A1" s="38" t="s">
        <v>212</v>
      </c>
    </row>
    <row r="2" spans="1:10" ht="18.75">
      <c r="A2" s="38" t="s">
        <v>220</v>
      </c>
    </row>
    <row r="3" spans="1:10" ht="18.75">
      <c r="A3" s="188" t="s">
        <v>199</v>
      </c>
    </row>
    <row r="4" spans="1:10">
      <c r="A4" s="34" t="s">
        <v>60</v>
      </c>
    </row>
    <row r="5" spans="1:10">
      <c r="A5" s="34" t="s">
        <v>103</v>
      </c>
    </row>
    <row r="6" spans="1:10">
      <c r="A6" s="34" t="s">
        <v>104</v>
      </c>
    </row>
    <row r="7" spans="1:10" ht="16.5" thickBot="1">
      <c r="A7" s="34" t="s">
        <v>105</v>
      </c>
      <c r="I7" s="204"/>
      <c r="J7" s="204"/>
    </row>
    <row r="8" spans="1:10">
      <c r="B8" s="189" t="s">
        <v>162</v>
      </c>
      <c r="C8" s="189" t="s">
        <v>214</v>
      </c>
      <c r="D8" s="190"/>
    </row>
    <row r="9" spans="1:10" ht="16.5" thickBot="1">
      <c r="B9" s="191" t="s">
        <v>137</v>
      </c>
      <c r="C9" s="205" t="s">
        <v>137</v>
      </c>
      <c r="D9" s="191" t="s">
        <v>57</v>
      </c>
    </row>
    <row r="10" spans="1:10" ht="15" customHeight="1">
      <c r="A10" s="123" t="s">
        <v>165</v>
      </c>
      <c r="B10" s="192"/>
      <c r="C10" s="206"/>
      <c r="D10" s="201"/>
    </row>
    <row r="11" spans="1:10" ht="15" customHeight="1">
      <c r="A11" s="183" t="s">
        <v>188</v>
      </c>
      <c r="B11" s="192"/>
      <c r="C11" s="206"/>
      <c r="D11" s="201"/>
    </row>
    <row r="12" spans="1:10" ht="15" customHeight="1">
      <c r="A12" s="80" t="s">
        <v>184</v>
      </c>
      <c r="B12" s="197"/>
      <c r="C12" s="197"/>
      <c r="D12" s="201"/>
    </row>
    <row r="13" spans="1:10" ht="15" customHeight="1">
      <c r="A13" s="80" t="s">
        <v>185</v>
      </c>
      <c r="B13" s="54">
        <v>5500</v>
      </c>
      <c r="C13" s="84">
        <v>5500</v>
      </c>
      <c r="D13" s="201">
        <f>SUM(C13-B13)/B13</f>
        <v>0</v>
      </c>
    </row>
    <row r="14" spans="1:10" ht="15" customHeight="1">
      <c r="A14" s="80" t="s">
        <v>186</v>
      </c>
      <c r="B14" s="54">
        <v>5500</v>
      </c>
      <c r="C14" s="84">
        <v>5500</v>
      </c>
      <c r="D14" s="201">
        <f>SUM(C14-B14)/B14</f>
        <v>0</v>
      </c>
    </row>
    <row r="15" spans="1:10" ht="15" customHeight="1">
      <c r="A15" s="80" t="s">
        <v>187</v>
      </c>
      <c r="B15" s="54">
        <v>6100</v>
      </c>
      <c r="C15" s="84">
        <v>6100</v>
      </c>
      <c r="D15" s="201">
        <f>SUM(C15-B15)/B15</f>
        <v>0</v>
      </c>
    </row>
    <row r="16" spans="1:10" ht="15" customHeight="1">
      <c r="A16" s="80"/>
      <c r="B16" s="54"/>
      <c r="C16" s="54"/>
      <c r="D16" s="201"/>
    </row>
    <row r="17" spans="1:4" ht="15" customHeight="1">
      <c r="A17" s="52" t="s">
        <v>196</v>
      </c>
      <c r="B17" s="54"/>
      <c r="C17" s="207"/>
      <c r="D17" s="201"/>
    </row>
    <row r="18" spans="1:4" ht="15" customHeight="1">
      <c r="A18" s="183" t="s">
        <v>189</v>
      </c>
      <c r="B18" s="54"/>
      <c r="C18" s="54"/>
      <c r="D18" s="201"/>
    </row>
    <row r="19" spans="1:4" ht="15" customHeight="1">
      <c r="A19" s="183" t="s">
        <v>228</v>
      </c>
      <c r="B19" s="54">
        <v>3050</v>
      </c>
      <c r="C19" s="84">
        <f>330*10</f>
        <v>3300</v>
      </c>
      <c r="D19" s="201">
        <f>SUM(C19-B19)/B19</f>
        <v>8.1967213114754092E-2</v>
      </c>
    </row>
    <row r="20" spans="1:4" ht="15" customHeight="1">
      <c r="A20" s="183" t="s">
        <v>201</v>
      </c>
      <c r="B20" s="54"/>
      <c r="C20" s="84"/>
      <c r="D20" s="201"/>
    </row>
    <row r="21" spans="1:4" ht="15" customHeight="1">
      <c r="A21" s="80" t="s">
        <v>190</v>
      </c>
      <c r="B21" s="54">
        <f>4000</f>
        <v>4000</v>
      </c>
      <c r="C21" s="84">
        <f>425*10</f>
        <v>4250</v>
      </c>
      <c r="D21" s="201">
        <f>SUM(C21-B21)/B21</f>
        <v>6.25E-2</v>
      </c>
    </row>
    <row r="22" spans="1:4" ht="15" customHeight="1">
      <c r="A22" s="80" t="s">
        <v>191</v>
      </c>
      <c r="B22" s="54">
        <v>4000</v>
      </c>
      <c r="C22" s="84">
        <f>425*10</f>
        <v>4250</v>
      </c>
      <c r="D22" s="201">
        <f>SUM(C22-B22)/B22</f>
        <v>6.25E-2</v>
      </c>
    </row>
    <row r="23" spans="1:4" ht="15" customHeight="1">
      <c r="A23" s="80" t="s">
        <v>192</v>
      </c>
      <c r="B23" s="54">
        <v>4000</v>
      </c>
      <c r="C23" s="84">
        <f>425*10</f>
        <v>4250</v>
      </c>
      <c r="D23" s="201">
        <f>SUM(C23-B23)/B23</f>
        <v>6.25E-2</v>
      </c>
    </row>
    <row r="24" spans="1:4" ht="15" customHeight="1">
      <c r="A24" s="80"/>
      <c r="B24" s="54"/>
      <c r="C24" s="54"/>
      <c r="D24" s="201"/>
    </row>
    <row r="25" spans="1:4" ht="15" customHeight="1">
      <c r="A25" s="208" t="s">
        <v>101</v>
      </c>
      <c r="B25" s="54"/>
      <c r="C25" s="54"/>
      <c r="D25" s="130"/>
    </row>
    <row r="26" spans="1:4" ht="15" customHeight="1">
      <c r="A26" s="208" t="s">
        <v>250</v>
      </c>
      <c r="B26" s="54"/>
      <c r="C26" s="54"/>
      <c r="D26" s="130"/>
    </row>
    <row r="27" spans="1:4">
      <c r="A27" s="209" t="s">
        <v>143</v>
      </c>
      <c r="B27" s="54">
        <v>3598</v>
      </c>
      <c r="C27" s="84">
        <f>14*257</f>
        <v>3598</v>
      </c>
      <c r="D27" s="130">
        <f>C27/B27-1</f>
        <v>0</v>
      </c>
    </row>
    <row r="28" spans="1:4">
      <c r="A28" s="210" t="s">
        <v>202</v>
      </c>
      <c r="B28" s="54"/>
      <c r="C28" s="54"/>
    </row>
    <row r="29" spans="1:4" ht="15" customHeight="1">
      <c r="A29" s="209"/>
      <c r="B29" s="54"/>
      <c r="C29" s="54"/>
      <c r="D29" s="130"/>
    </row>
    <row r="30" spans="1:4" ht="15" customHeight="1">
      <c r="A30" s="208" t="s">
        <v>65</v>
      </c>
      <c r="B30" s="54"/>
      <c r="C30" s="54"/>
    </row>
    <row r="31" spans="1:4" ht="15" customHeight="1">
      <c r="A31" s="208" t="s">
        <v>250</v>
      </c>
      <c r="B31" s="54"/>
      <c r="C31" s="54"/>
    </row>
    <row r="32" spans="1:4" ht="15" customHeight="1">
      <c r="A32" s="199" t="s">
        <v>223</v>
      </c>
      <c r="B32" s="54"/>
      <c r="C32" s="54"/>
    </row>
    <row r="33" spans="1:6" ht="15" customHeight="1">
      <c r="A33" s="80" t="s">
        <v>61</v>
      </c>
      <c r="B33" s="54">
        <f>1570*2</f>
        <v>3140</v>
      </c>
      <c r="C33" s="84">
        <f>1690*2</f>
        <v>3380</v>
      </c>
      <c r="D33" s="130">
        <f>SUM(C33-B33)/B33</f>
        <v>7.6433121019108277E-2</v>
      </c>
    </row>
    <row r="34" spans="1:6" ht="15" customHeight="1">
      <c r="A34" s="80" t="s">
        <v>62</v>
      </c>
      <c r="B34" s="54">
        <f>2225*2</f>
        <v>4450</v>
      </c>
      <c r="C34" s="84">
        <f>2360*2</f>
        <v>4720</v>
      </c>
      <c r="D34" s="130">
        <f>SUM(C34-B34)/B34</f>
        <v>6.0674157303370786E-2</v>
      </c>
    </row>
    <row r="35" spans="1:6" ht="15" customHeight="1">
      <c r="A35" s="209"/>
      <c r="B35" s="54"/>
      <c r="C35" s="54"/>
      <c r="D35" s="130"/>
    </row>
    <row r="36" spans="1:6" ht="15" customHeight="1">
      <c r="A36" s="208" t="s">
        <v>66</v>
      </c>
      <c r="B36" s="41"/>
      <c r="C36" s="41"/>
    </row>
    <row r="37" spans="1:6" ht="15" customHeight="1">
      <c r="A37" s="208" t="s">
        <v>250</v>
      </c>
      <c r="B37" s="41"/>
      <c r="C37" s="41"/>
    </row>
    <row r="38" spans="1:6" ht="15" customHeight="1">
      <c r="A38" s="199" t="s">
        <v>203</v>
      </c>
      <c r="B38" s="41"/>
      <c r="C38" s="41"/>
    </row>
    <row r="39" spans="1:6" ht="15" customHeight="1">
      <c r="A39" s="80" t="s">
        <v>61</v>
      </c>
      <c r="B39" s="54">
        <v>4340</v>
      </c>
      <c r="C39" s="84">
        <f>2260*2</f>
        <v>4520</v>
      </c>
      <c r="D39" s="130">
        <f>SUM(C39-B39)/B39</f>
        <v>4.1474654377880185E-2</v>
      </c>
    </row>
    <row r="40" spans="1:6" ht="15" customHeight="1">
      <c r="A40" s="80" t="s">
        <v>62</v>
      </c>
      <c r="B40" s="54">
        <v>4840</v>
      </c>
      <c r="C40" s="84">
        <f>2540*2</f>
        <v>5080</v>
      </c>
      <c r="D40" s="130">
        <f>SUM(C40-B40)/B40</f>
        <v>4.9586776859504134E-2</v>
      </c>
    </row>
    <row r="41" spans="1:6" ht="15" customHeight="1">
      <c r="A41" s="80" t="s">
        <v>63</v>
      </c>
      <c r="B41" s="54">
        <v>4040</v>
      </c>
      <c r="C41" s="84">
        <f>2100*2</f>
        <v>4200</v>
      </c>
      <c r="D41" s="130">
        <f>SUM(C41-B41)/B41</f>
        <v>3.9603960396039604E-2</v>
      </c>
    </row>
    <row r="42" spans="1:6" ht="15" customHeight="1">
      <c r="A42" s="80" t="s">
        <v>77</v>
      </c>
      <c r="B42" s="54">
        <v>3560</v>
      </c>
      <c r="C42" s="84">
        <f>1850*2</f>
        <v>3700</v>
      </c>
      <c r="D42" s="130">
        <f>SUM(C42-B42)/B42</f>
        <v>3.9325842696629212E-2</v>
      </c>
    </row>
    <row r="43" spans="1:6" ht="15" customHeight="1">
      <c r="B43" s="54"/>
      <c r="C43" s="54"/>
    </row>
    <row r="44" spans="1:6" ht="15" customHeight="1">
      <c r="A44" s="52" t="s">
        <v>102</v>
      </c>
      <c r="B44" s="54"/>
      <c r="C44" s="41"/>
      <c r="D44" s="192"/>
    </row>
    <row r="45" spans="1:6" s="80" customFormat="1" ht="15" customHeight="1">
      <c r="A45" s="183" t="s">
        <v>251</v>
      </c>
      <c r="B45" s="54"/>
      <c r="C45" s="54"/>
      <c r="D45" s="192"/>
    </row>
    <row r="46" spans="1:6" ht="15" customHeight="1">
      <c r="A46" s="209" t="s">
        <v>200</v>
      </c>
      <c r="B46" s="54"/>
      <c r="C46" s="41"/>
      <c r="D46" s="192"/>
    </row>
    <row r="47" spans="1:6" ht="15" customHeight="1">
      <c r="A47" s="80" t="s">
        <v>176</v>
      </c>
      <c r="B47" s="54">
        <v>2500</v>
      </c>
      <c r="C47" s="84">
        <f>1250*2</f>
        <v>2500</v>
      </c>
      <c r="D47" s="130">
        <f>SUM(C47-B47)/B47</f>
        <v>0</v>
      </c>
      <c r="E47" s="130"/>
      <c r="F47" s="130"/>
    </row>
    <row r="48" spans="1:6" ht="15" customHeight="1">
      <c r="A48" s="80"/>
      <c r="B48" s="54"/>
      <c r="C48" s="41"/>
      <c r="D48" s="192"/>
      <c r="F48" s="130"/>
    </row>
    <row r="49" spans="1:6" ht="15" customHeight="1">
      <c r="A49" s="52" t="s">
        <v>206</v>
      </c>
      <c r="B49" s="54"/>
      <c r="C49" s="41"/>
      <c r="D49" s="192"/>
    </row>
    <row r="50" spans="1:6" ht="15" customHeight="1">
      <c r="A50" s="183" t="s">
        <v>252</v>
      </c>
      <c r="B50" s="54"/>
      <c r="C50" s="41"/>
      <c r="D50" s="192"/>
    </row>
    <row r="51" spans="1:6" ht="15" customHeight="1">
      <c r="A51" s="80" t="s">
        <v>233</v>
      </c>
      <c r="B51" s="54"/>
      <c r="C51" s="41"/>
      <c r="D51" s="203"/>
    </row>
    <row r="52" spans="1:6" ht="15" customHeight="1">
      <c r="A52" s="209" t="s">
        <v>236</v>
      </c>
      <c r="B52" s="54"/>
      <c r="C52" s="84">
        <f>2266.67*2</f>
        <v>4533.34</v>
      </c>
      <c r="D52" s="130"/>
      <c r="E52" s="130"/>
      <c r="F52" s="130"/>
    </row>
    <row r="53" spans="1:6" ht="15" customHeight="1">
      <c r="A53" s="209" t="s">
        <v>64</v>
      </c>
      <c r="B53" s="54">
        <v>3800</v>
      </c>
      <c r="C53" s="84">
        <f>1900*2</f>
        <v>3800</v>
      </c>
      <c r="D53" s="130">
        <f t="shared" ref="D53:D54" si="0">SUM(C53-B53)/B53</f>
        <v>0</v>
      </c>
      <c r="E53" s="130"/>
      <c r="F53" s="130"/>
    </row>
    <row r="54" spans="1:6" ht="15" customHeight="1">
      <c r="A54" s="209" t="s">
        <v>138</v>
      </c>
      <c r="B54" s="54">
        <v>900</v>
      </c>
      <c r="C54" s="84">
        <v>900</v>
      </c>
      <c r="D54" s="130">
        <f t="shared" si="0"/>
        <v>0</v>
      </c>
      <c r="E54" s="130"/>
      <c r="F54" s="130"/>
    </row>
    <row r="55" spans="1:6" ht="15" customHeight="1">
      <c r="A55" s="209"/>
      <c r="B55" s="54"/>
      <c r="C55" s="41"/>
      <c r="D55" s="192"/>
      <c r="F55" s="130"/>
    </row>
    <row r="56" spans="1:6" ht="15" customHeight="1">
      <c r="A56" s="208" t="s">
        <v>136</v>
      </c>
      <c r="B56" s="54"/>
      <c r="C56" s="54"/>
    </row>
    <row r="57" spans="1:6" ht="15" customHeight="1">
      <c r="A57" s="208" t="s">
        <v>253</v>
      </c>
      <c r="B57" s="54"/>
      <c r="C57" s="54"/>
    </row>
    <row r="58" spans="1:6" ht="15" customHeight="1">
      <c r="A58" s="211" t="s">
        <v>174</v>
      </c>
      <c r="B58" s="54"/>
      <c r="C58" s="54"/>
    </row>
    <row r="59" spans="1:6" ht="15" customHeight="1">
      <c r="A59" s="212" t="s">
        <v>134</v>
      </c>
      <c r="B59" s="54">
        <v>18704</v>
      </c>
      <c r="C59" s="55">
        <v>19194</v>
      </c>
      <c r="D59" s="130">
        <f>C59/B59-1</f>
        <v>2.6197604790419105E-2</v>
      </c>
    </row>
    <row r="60" spans="1:6" ht="15" customHeight="1">
      <c r="A60" s="34" t="s">
        <v>97</v>
      </c>
      <c r="B60" s="54">
        <v>4676</v>
      </c>
      <c r="C60" s="84">
        <f>C59/4</f>
        <v>4798.5</v>
      </c>
      <c r="D60" s="130">
        <f>SUM(C60-B60)/B60</f>
        <v>2.619760479041916E-2</v>
      </c>
    </row>
    <row r="61" spans="1:6" ht="15" customHeight="1">
      <c r="A61" s="213" t="s">
        <v>96</v>
      </c>
      <c r="B61" s="54">
        <v>6235</v>
      </c>
      <c r="C61" s="84">
        <f>C59/3</f>
        <v>6398</v>
      </c>
      <c r="D61" s="130">
        <f>SUM(C61-B61)/B61</f>
        <v>2.6142742582197273E-2</v>
      </c>
    </row>
    <row r="62" spans="1:6" ht="15" customHeight="1">
      <c r="A62" s="213" t="s">
        <v>98</v>
      </c>
      <c r="B62" s="54">
        <v>9352</v>
      </c>
      <c r="C62" s="84">
        <f>C59/2</f>
        <v>9597</v>
      </c>
      <c r="D62" s="130">
        <f>SUM(C62-B62)/B62</f>
        <v>2.619760479041916E-2</v>
      </c>
    </row>
    <row r="63" spans="1:6" ht="15" customHeight="1">
      <c r="A63" s="214"/>
      <c r="B63" s="54"/>
      <c r="C63" s="54"/>
    </row>
    <row r="64" spans="1:6" ht="15" customHeight="1">
      <c r="A64" s="208" t="s">
        <v>175</v>
      </c>
      <c r="B64" s="54"/>
      <c r="C64" s="54"/>
    </row>
    <row r="65" spans="1:4" ht="15" customHeight="1">
      <c r="A65" s="208" t="s">
        <v>250</v>
      </c>
      <c r="B65" s="54"/>
      <c r="C65" s="54"/>
    </row>
    <row r="66" spans="1:4" ht="15" customHeight="1">
      <c r="A66" s="199" t="s">
        <v>227</v>
      </c>
      <c r="B66" s="54"/>
      <c r="C66" s="54"/>
    </row>
    <row r="67" spans="1:4" ht="15" customHeight="1">
      <c r="A67" s="80" t="s">
        <v>61</v>
      </c>
      <c r="B67" s="54">
        <v>3250</v>
      </c>
      <c r="C67" s="84">
        <f>1740*2</f>
        <v>3480</v>
      </c>
      <c r="D67" s="130">
        <f>SUM(C67-B67)/B67</f>
        <v>7.0769230769230765E-2</v>
      </c>
    </row>
    <row r="68" spans="1:4" ht="15" customHeight="1">
      <c r="A68" s="80" t="s">
        <v>62</v>
      </c>
      <c r="B68" s="54">
        <v>4750</v>
      </c>
      <c r="C68" s="84">
        <f>2425*2</f>
        <v>4850</v>
      </c>
      <c r="D68" s="130">
        <f>SUM(C68-B68)/B68</f>
        <v>2.1052631578947368E-2</v>
      </c>
    </row>
    <row r="69" spans="1:4" ht="15" customHeight="1">
      <c r="B69" s="41"/>
      <c r="C69" s="41"/>
    </row>
    <row r="70" spans="1:4" ht="15" customHeight="1">
      <c r="A70" s="123" t="s">
        <v>209</v>
      </c>
      <c r="B70" s="41"/>
      <c r="C70" s="81"/>
    </row>
    <row r="71" spans="1:4" ht="15" customHeight="1">
      <c r="A71" s="183" t="s">
        <v>251</v>
      </c>
      <c r="B71" s="41"/>
      <c r="C71" s="81"/>
    </row>
    <row r="72" spans="1:4" ht="15" customHeight="1">
      <c r="A72" s="34" t="s">
        <v>234</v>
      </c>
      <c r="B72" s="41">
        <f>5*450*2</f>
        <v>4500</v>
      </c>
      <c r="C72" s="55">
        <f>5*450*2</f>
        <v>4500</v>
      </c>
      <c r="D72" s="95">
        <f>SUM(C72-B72)/B72</f>
        <v>0</v>
      </c>
    </row>
    <row r="73" spans="1:4" ht="15" customHeight="1">
      <c r="A73" s="34" t="s">
        <v>207</v>
      </c>
      <c r="B73" s="41"/>
      <c r="C73" s="41"/>
    </row>
    <row r="74" spans="1:4" ht="15" customHeight="1">
      <c r="A74" s="34" t="s">
        <v>208</v>
      </c>
      <c r="B74" s="41"/>
      <c r="C74" s="41"/>
    </row>
    <row r="75" spans="1:4" ht="15" customHeight="1">
      <c r="B75" s="41"/>
      <c r="C75" s="41"/>
    </row>
    <row r="76" spans="1:4" ht="15" customHeight="1">
      <c r="A76" s="129" t="s">
        <v>151</v>
      </c>
      <c r="B76" s="54"/>
      <c r="C76" s="54"/>
      <c r="D76" s="80"/>
    </row>
    <row r="77" spans="1:4" ht="15" customHeight="1">
      <c r="A77" s="199" t="s">
        <v>251</v>
      </c>
      <c r="B77" s="54"/>
      <c r="C77" s="54"/>
      <c r="D77" s="80"/>
    </row>
    <row r="78" spans="1:4" s="80" customFormat="1" ht="15" customHeight="1">
      <c r="A78" s="209" t="s">
        <v>193</v>
      </c>
      <c r="B78" s="54"/>
      <c r="C78" s="54"/>
    </row>
    <row r="79" spans="1:4" ht="15" customHeight="1">
      <c r="A79" s="80" t="s">
        <v>61</v>
      </c>
      <c r="B79" s="54">
        <v>3000</v>
      </c>
      <c r="C79" s="84">
        <v>3000</v>
      </c>
      <c r="D79" s="201">
        <f>SUM(C79-B79)/B79</f>
        <v>0</v>
      </c>
    </row>
    <row r="80" spans="1:4" ht="15" customHeight="1">
      <c r="A80" s="80" t="s">
        <v>194</v>
      </c>
      <c r="B80" s="54">
        <v>4200</v>
      </c>
      <c r="C80" s="84">
        <v>4200</v>
      </c>
      <c r="D80" s="201">
        <f>SUM(C80-B80)/B80</f>
        <v>0</v>
      </c>
    </row>
    <row r="81" spans="1:4" ht="15" customHeight="1">
      <c r="A81" s="34" t="s">
        <v>195</v>
      </c>
      <c r="B81" s="41"/>
      <c r="C81" s="41"/>
    </row>
    <row r="82" spans="1:4" ht="15" customHeight="1">
      <c r="B82" s="41"/>
      <c r="C82" s="41"/>
    </row>
    <row r="83" spans="1:4" ht="15" customHeight="1">
      <c r="A83" s="129" t="s">
        <v>139</v>
      </c>
      <c r="B83" s="54"/>
      <c r="C83" s="54"/>
    </row>
    <row r="84" spans="1:4" ht="15" customHeight="1">
      <c r="A84" s="199" t="s">
        <v>251</v>
      </c>
      <c r="B84" s="54"/>
      <c r="C84" s="54"/>
    </row>
    <row r="85" spans="1:4" ht="15" customHeight="1">
      <c r="A85" s="211" t="s">
        <v>135</v>
      </c>
      <c r="B85" s="54"/>
      <c r="C85" s="54"/>
    </row>
    <row r="86" spans="1:4" ht="15" customHeight="1">
      <c r="A86" s="34" t="s">
        <v>144</v>
      </c>
      <c r="B86" s="54"/>
      <c r="C86" s="54"/>
    </row>
    <row r="87" spans="1:4" ht="15" customHeight="1">
      <c r="A87" s="34" t="s">
        <v>173</v>
      </c>
      <c r="B87" s="54">
        <v>6116</v>
      </c>
      <c r="C87" s="84">
        <v>6299</v>
      </c>
      <c r="D87" s="130">
        <f>SUM(C87-B87)/B87</f>
        <v>2.9921517331589275E-2</v>
      </c>
    </row>
    <row r="88" spans="1:4" ht="15" customHeight="1">
      <c r="A88" s="34" t="s">
        <v>261</v>
      </c>
      <c r="B88" s="54">
        <v>600</v>
      </c>
      <c r="C88" s="84">
        <v>600</v>
      </c>
      <c r="D88" s="130">
        <f>SUM(C88-B88)/B88</f>
        <v>0</v>
      </c>
    </row>
    <row r="89" spans="1:4" ht="15" customHeight="1">
      <c r="A89" s="123" t="s">
        <v>124</v>
      </c>
      <c r="B89" s="195"/>
      <c r="C89" s="195"/>
    </row>
    <row r="90" spans="1:4" ht="15" customHeight="1">
      <c r="A90" s="183" t="s">
        <v>253</v>
      </c>
      <c r="B90" s="195"/>
      <c r="C90" s="195"/>
    </row>
    <row r="91" spans="1:4" ht="15" customHeight="1">
      <c r="A91" s="35" t="s">
        <v>94</v>
      </c>
      <c r="B91" s="195"/>
      <c r="C91" s="195"/>
    </row>
    <row r="92" spans="1:4" ht="15" customHeight="1">
      <c r="A92" s="34" t="s">
        <v>95</v>
      </c>
      <c r="B92" s="41"/>
      <c r="C92" s="41"/>
    </row>
    <row r="93" spans="1:4" ht="15" customHeight="1">
      <c r="A93" s="80" t="s">
        <v>156</v>
      </c>
      <c r="B93" s="54">
        <v>4192</v>
      </c>
      <c r="C93" s="84">
        <v>4320</v>
      </c>
      <c r="D93" s="130">
        <f>SUM(C93-B93)/B93</f>
        <v>3.0534351145038167E-2</v>
      </c>
    </row>
    <row r="94" spans="1:4" ht="15" customHeight="1">
      <c r="A94" s="80" t="s">
        <v>91</v>
      </c>
      <c r="B94" s="54">
        <v>4526</v>
      </c>
      <c r="C94" s="84">
        <v>4660</v>
      </c>
      <c r="D94" s="130">
        <f>SUM(C94-B94)/B94</f>
        <v>2.9606716747680072E-2</v>
      </c>
    </row>
    <row r="95" spans="1:4" ht="15" customHeight="1">
      <c r="A95" s="34" t="s">
        <v>92</v>
      </c>
      <c r="B95" s="54">
        <v>4526</v>
      </c>
      <c r="C95" s="84">
        <v>4660</v>
      </c>
      <c r="D95" s="130">
        <f>SUM(C95-B95)/B95</f>
        <v>2.9606716747680072E-2</v>
      </c>
    </row>
    <row r="96" spans="1:4" ht="15" customHeight="1">
      <c r="A96" s="34" t="s">
        <v>93</v>
      </c>
      <c r="B96" s="54">
        <v>5240</v>
      </c>
      <c r="C96" s="84">
        <v>5400</v>
      </c>
      <c r="D96" s="130">
        <f>SUM(C96-B96)/B96</f>
        <v>3.0534351145038167E-2</v>
      </c>
    </row>
    <row r="97" spans="2:4" ht="15" customHeight="1">
      <c r="B97" s="54"/>
      <c r="C97" s="54"/>
      <c r="D97" s="130"/>
    </row>
    <row r="98" spans="2:4" ht="15" customHeight="1"/>
    <row r="99" spans="2:4" ht="15" customHeight="1"/>
    <row r="100" spans="2:4" ht="15" customHeight="1"/>
    <row r="101" spans="2:4" ht="15" customHeight="1"/>
    <row r="102" spans="2:4" ht="15" customHeight="1"/>
    <row r="103" spans="2:4" ht="15" customHeight="1"/>
  </sheetData>
  <printOptions horizontalCentered="1"/>
  <pageMargins left="0.7" right="0.7" top="0.75" bottom="0.75" header="0.3" footer="0.3"/>
  <pageSetup scale="88" fitToHeight="0" orientation="portrait" r:id="rId1"/>
  <headerFooter>
    <oddHeader xml:space="preserve">&amp;R&amp;"-,Regular"Attachment  2E&amp;"Times New Roman,Regular"
</oddHeader>
  </headerFooter>
  <rowBreaks count="2" manualBreakCount="2">
    <brk id="48" max="3" man="1"/>
    <brk id="88"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fitToPage="1"/>
  </sheetPr>
  <dimension ref="A1:H112"/>
  <sheetViews>
    <sheetView zoomScaleNormal="100" workbookViewId="0">
      <pane xSplit="1" ySplit="6" topLeftCell="B7" activePane="bottomRight" state="frozen"/>
      <selection activeCell="B18" sqref="B18"/>
      <selection pane="topRight" activeCell="B18" sqref="B18"/>
      <selection pane="bottomLeft" activeCell="B18" sqref="B18"/>
      <selection pane="bottomRight" activeCell="C26" sqref="C26"/>
    </sheetView>
  </sheetViews>
  <sheetFormatPr defaultColWidth="9.140625" defaultRowHeight="15" customHeight="1"/>
  <cols>
    <col min="1" max="1" width="50.28515625" style="34" bestFit="1" customWidth="1"/>
    <col min="2" max="3" width="15.42578125" style="34" bestFit="1" customWidth="1"/>
    <col min="4" max="4" width="8.140625" style="34" bestFit="1" customWidth="1"/>
    <col min="5" max="16384" width="9.140625" style="34"/>
  </cols>
  <sheetData>
    <row r="1" spans="1:8" ht="15" customHeight="1">
      <c r="A1" s="38" t="s">
        <v>212</v>
      </c>
    </row>
    <row r="2" spans="1:8" ht="15" customHeight="1">
      <c r="A2" s="38" t="s">
        <v>221</v>
      </c>
    </row>
    <row r="3" spans="1:8" ht="15" customHeight="1">
      <c r="A3" s="188" t="s">
        <v>140</v>
      </c>
    </row>
    <row r="4" spans="1:8" ht="15" customHeight="1" thickBot="1">
      <c r="A4" s="34" t="s">
        <v>60</v>
      </c>
    </row>
    <row r="5" spans="1:8" ht="15" customHeight="1">
      <c r="B5" s="189" t="s">
        <v>162</v>
      </c>
      <c r="C5" s="189" t="s">
        <v>222</v>
      </c>
      <c r="D5" s="190"/>
    </row>
    <row r="6" spans="1:8" ht="15" customHeight="1" thickBot="1">
      <c r="B6" s="191" t="s">
        <v>137</v>
      </c>
      <c r="C6" s="191" t="s">
        <v>137</v>
      </c>
      <c r="D6" s="191" t="s">
        <v>57</v>
      </c>
    </row>
    <row r="7" spans="1:8" ht="15" customHeight="1">
      <c r="B7" s="192"/>
      <c r="C7" s="193"/>
      <c r="D7" s="130"/>
    </row>
    <row r="8" spans="1:8" ht="15" customHeight="1">
      <c r="A8" s="184" t="s">
        <v>155</v>
      </c>
      <c r="B8" s="194"/>
      <c r="C8" s="194"/>
    </row>
    <row r="9" spans="1:8" ht="15" customHeight="1">
      <c r="A9" s="34" t="s">
        <v>150</v>
      </c>
      <c r="B9" s="195">
        <f>750*12</f>
        <v>9000</v>
      </c>
      <c r="C9" s="196">
        <f>730*12</f>
        <v>8760</v>
      </c>
      <c r="D9" s="130">
        <f>SUM(C9-B9)/B9</f>
        <v>-2.6666666666666668E-2</v>
      </c>
      <c r="F9" s="80"/>
      <c r="G9" s="80"/>
      <c r="H9" s="80"/>
    </row>
    <row r="10" spans="1:8" ht="15" customHeight="1">
      <c r="A10" s="34" t="s">
        <v>148</v>
      </c>
      <c r="B10" s="195"/>
      <c r="C10" s="195"/>
    </row>
    <row r="11" spans="1:8" ht="15" customHeight="1">
      <c r="A11" s="34" t="s">
        <v>149</v>
      </c>
      <c r="B11" s="195"/>
      <c r="C11" s="195"/>
    </row>
    <row r="12" spans="1:8" ht="15" customHeight="1">
      <c r="A12" s="80"/>
      <c r="B12" s="197"/>
      <c r="C12" s="197"/>
    </row>
    <row r="13" spans="1:8" ht="15" customHeight="1">
      <c r="A13" s="184" t="s">
        <v>166</v>
      </c>
      <c r="B13" s="197"/>
      <c r="C13" s="197"/>
    </row>
    <row r="14" spans="1:8" ht="15" customHeight="1">
      <c r="A14" s="80" t="s">
        <v>167</v>
      </c>
      <c r="B14" s="197"/>
      <c r="C14" s="197"/>
    </row>
    <row r="15" spans="1:8" ht="15" customHeight="1">
      <c r="A15" s="34" t="s">
        <v>168</v>
      </c>
      <c r="B15" s="197"/>
      <c r="C15" s="197"/>
    </row>
    <row r="16" spans="1:8" ht="15" customHeight="1">
      <c r="A16" s="34" t="s">
        <v>169</v>
      </c>
      <c r="B16" s="197">
        <v>6090</v>
      </c>
      <c r="C16" s="196">
        <v>6274</v>
      </c>
      <c r="D16" s="130">
        <f>SUM(C16-B16)/B16</f>
        <v>3.0213464696223317E-2</v>
      </c>
    </row>
    <row r="17" spans="1:4" ht="15" customHeight="1">
      <c r="A17" s="34" t="s">
        <v>170</v>
      </c>
      <c r="B17" s="197">
        <v>7011</v>
      </c>
      <c r="C17" s="196">
        <v>7166</v>
      </c>
      <c r="D17" s="130">
        <f>SUM(C17-B17)/B17</f>
        <v>2.2108115818000287E-2</v>
      </c>
    </row>
    <row r="18" spans="1:4" ht="15" customHeight="1">
      <c r="A18" s="34" t="s">
        <v>171</v>
      </c>
      <c r="B18" s="197">
        <v>7707</v>
      </c>
      <c r="C18" s="196">
        <v>7947</v>
      </c>
      <c r="D18" s="130">
        <f>SUM(C18-B18)/B18</f>
        <v>3.1140521603736863E-2</v>
      </c>
    </row>
    <row r="19" spans="1:4" ht="15" customHeight="1">
      <c r="A19" s="34" t="s">
        <v>172</v>
      </c>
      <c r="B19" s="197">
        <v>500</v>
      </c>
      <c r="C19" s="196">
        <v>500</v>
      </c>
    </row>
    <row r="20" spans="1:4" ht="15" customHeight="1">
      <c r="A20" s="80"/>
      <c r="B20" s="197"/>
      <c r="C20" s="197"/>
    </row>
    <row r="21" spans="1:4" ht="15" customHeight="1">
      <c r="A21" s="198" t="s">
        <v>204</v>
      </c>
      <c r="B21" s="197"/>
      <c r="C21" s="197"/>
      <c r="D21" s="80"/>
    </row>
    <row r="22" spans="1:4" ht="15" customHeight="1">
      <c r="A22" s="199" t="s">
        <v>254</v>
      </c>
      <c r="B22" s="197"/>
      <c r="C22" s="197"/>
      <c r="D22" s="80"/>
    </row>
    <row r="23" spans="1:4" ht="15" customHeight="1">
      <c r="A23" s="200" t="s">
        <v>205</v>
      </c>
      <c r="B23" s="197"/>
      <c r="C23" s="197"/>
      <c r="D23" s="80"/>
    </row>
    <row r="24" spans="1:4" ht="15" customHeight="1">
      <c r="A24" s="80" t="s">
        <v>61</v>
      </c>
      <c r="B24" s="197">
        <v>3726</v>
      </c>
      <c r="C24" s="196">
        <v>3726</v>
      </c>
      <c r="D24" s="201">
        <f>SUM(C24-B24)/B24</f>
        <v>0</v>
      </c>
    </row>
    <row r="25" spans="1:4" ht="15" customHeight="1">
      <c r="A25" s="80" t="s">
        <v>62</v>
      </c>
      <c r="B25" s="197">
        <v>4626</v>
      </c>
      <c r="C25" s="196">
        <v>4626</v>
      </c>
      <c r="D25" s="201">
        <f>SUM(C25-B25)/B25</f>
        <v>0</v>
      </c>
    </row>
    <row r="26" spans="1:4" ht="15" customHeight="1">
      <c r="A26" s="80"/>
      <c r="B26" s="195"/>
      <c r="C26" s="195"/>
    </row>
    <row r="27" spans="1:4" ht="15" customHeight="1">
      <c r="A27" s="184" t="s">
        <v>177</v>
      </c>
      <c r="B27" s="195"/>
      <c r="C27" s="195"/>
    </row>
    <row r="28" spans="1:4" ht="15" customHeight="1">
      <c r="A28" s="80" t="s">
        <v>182</v>
      </c>
      <c r="B28" s="195"/>
      <c r="C28" s="195"/>
    </row>
    <row r="29" spans="1:4" ht="15" customHeight="1">
      <c r="A29" s="34" t="s">
        <v>178</v>
      </c>
      <c r="B29" s="195">
        <v>8160</v>
      </c>
      <c r="C29" s="202">
        <v>8160</v>
      </c>
      <c r="D29" s="95">
        <f>SUM(C29-B29)/B29</f>
        <v>0</v>
      </c>
    </row>
    <row r="30" spans="1:4" ht="15" customHeight="1">
      <c r="A30" s="34" t="s">
        <v>179</v>
      </c>
      <c r="B30" s="195">
        <v>8310</v>
      </c>
      <c r="C30" s="202">
        <v>8310</v>
      </c>
      <c r="D30" s="95">
        <f>SUM(C30-B30)/B30</f>
        <v>0</v>
      </c>
    </row>
    <row r="31" spans="1:4" ht="15" customHeight="1">
      <c r="A31" s="34" t="s">
        <v>180</v>
      </c>
      <c r="B31" s="195">
        <v>8058</v>
      </c>
      <c r="C31" s="202">
        <v>8058</v>
      </c>
      <c r="D31" s="95">
        <f>SUM(C31-B31)/B31</f>
        <v>0</v>
      </c>
    </row>
    <row r="32" spans="1:4" ht="15" customHeight="1">
      <c r="A32" s="34" t="s">
        <v>181</v>
      </c>
      <c r="B32" s="195">
        <v>7720</v>
      </c>
      <c r="C32" s="202">
        <v>7720</v>
      </c>
      <c r="D32" s="95">
        <f>SUM(C32-B32)/B32</f>
        <v>0</v>
      </c>
    </row>
    <row r="33" spans="2:4" ht="15" customHeight="1">
      <c r="B33" s="194"/>
      <c r="C33" s="194"/>
    </row>
    <row r="34" spans="2:4" ht="15" customHeight="1">
      <c r="B34" s="192"/>
      <c r="C34" s="192"/>
    </row>
    <row r="35" spans="2:4" ht="15" customHeight="1">
      <c r="B35" s="203"/>
      <c r="C35" s="194"/>
    </row>
    <row r="41" spans="2:4" ht="15" customHeight="1">
      <c r="B41" s="192"/>
      <c r="C41" s="193"/>
      <c r="D41" s="130"/>
    </row>
    <row r="42" spans="2:4" ht="15" customHeight="1">
      <c r="B42" s="194"/>
      <c r="C42" s="194"/>
    </row>
    <row r="43" spans="2:4" ht="15" customHeight="1">
      <c r="B43" s="194"/>
      <c r="C43" s="194"/>
    </row>
    <row r="44" spans="2:4" ht="15" customHeight="1">
      <c r="B44" s="194"/>
      <c r="C44" s="194"/>
    </row>
    <row r="45" spans="2:4" ht="15" customHeight="1">
      <c r="B45" s="194"/>
      <c r="C45" s="194"/>
    </row>
    <row r="46" spans="2:4" ht="15" customHeight="1">
      <c r="B46" s="194"/>
      <c r="C46" s="194"/>
    </row>
    <row r="47" spans="2:4" ht="15" customHeight="1">
      <c r="B47" s="194"/>
      <c r="C47" s="194"/>
    </row>
    <row r="48" spans="2:4" ht="15" customHeight="1">
      <c r="B48" s="194"/>
      <c r="C48" s="194"/>
    </row>
    <row r="49" spans="2:3" ht="15" customHeight="1">
      <c r="B49" s="194"/>
      <c r="C49" s="194"/>
    </row>
    <row r="50" spans="2:3" ht="15" customHeight="1">
      <c r="B50" s="194"/>
      <c r="C50" s="194"/>
    </row>
    <row r="51" spans="2:3" ht="15" customHeight="1">
      <c r="B51" s="194"/>
      <c r="C51" s="194"/>
    </row>
    <row r="52" spans="2:3" ht="15" customHeight="1">
      <c r="B52" s="194"/>
      <c r="C52" s="194"/>
    </row>
    <row r="53" spans="2:3" ht="15" customHeight="1">
      <c r="B53" s="194"/>
      <c r="C53" s="194"/>
    </row>
    <row r="54" spans="2:3" ht="15" customHeight="1">
      <c r="B54" s="194"/>
      <c r="C54" s="194"/>
    </row>
    <row r="55" spans="2:3" ht="15" customHeight="1">
      <c r="B55" s="194"/>
      <c r="C55" s="194"/>
    </row>
    <row r="56" spans="2:3" ht="15" customHeight="1">
      <c r="B56" s="194"/>
      <c r="C56" s="194"/>
    </row>
    <row r="57" spans="2:3" ht="15" customHeight="1">
      <c r="B57" s="194"/>
      <c r="C57" s="194"/>
    </row>
    <row r="58" spans="2:3" ht="15" customHeight="1">
      <c r="B58" s="194"/>
      <c r="C58" s="194"/>
    </row>
    <row r="59" spans="2:3" ht="15" customHeight="1">
      <c r="B59" s="194"/>
      <c r="C59" s="194"/>
    </row>
    <row r="60" spans="2:3" ht="15" customHeight="1">
      <c r="B60" s="194"/>
      <c r="C60" s="194"/>
    </row>
    <row r="61" spans="2:3" ht="15" customHeight="1">
      <c r="B61" s="194"/>
      <c r="C61" s="194"/>
    </row>
    <row r="62" spans="2:3" ht="15" customHeight="1">
      <c r="B62" s="194"/>
      <c r="C62" s="194"/>
    </row>
    <row r="63" spans="2:3" ht="15" customHeight="1">
      <c r="B63" s="194"/>
      <c r="C63" s="194"/>
    </row>
    <row r="64" spans="2:3" ht="15" customHeight="1">
      <c r="B64" s="194"/>
      <c r="C64" s="194"/>
    </row>
    <row r="65" spans="2:3" ht="15" customHeight="1">
      <c r="B65" s="194"/>
      <c r="C65" s="194"/>
    </row>
    <row r="66" spans="2:3" ht="15" customHeight="1">
      <c r="B66" s="194"/>
      <c r="C66" s="194"/>
    </row>
    <row r="67" spans="2:3" ht="15" customHeight="1">
      <c r="B67" s="194"/>
      <c r="C67" s="194"/>
    </row>
    <row r="68" spans="2:3" ht="15" customHeight="1">
      <c r="B68" s="194"/>
      <c r="C68" s="194"/>
    </row>
    <row r="69" spans="2:3" ht="15" customHeight="1">
      <c r="B69" s="194"/>
      <c r="C69" s="194"/>
    </row>
    <row r="70" spans="2:3" ht="15" customHeight="1">
      <c r="B70" s="194"/>
      <c r="C70" s="194"/>
    </row>
    <row r="71" spans="2:3" ht="15" customHeight="1">
      <c r="B71" s="194"/>
      <c r="C71" s="194"/>
    </row>
    <row r="72" spans="2:3" ht="15" customHeight="1">
      <c r="B72" s="194"/>
      <c r="C72" s="194"/>
    </row>
    <row r="73" spans="2:3" ht="15" customHeight="1">
      <c r="B73" s="194"/>
      <c r="C73" s="194"/>
    </row>
    <row r="74" spans="2:3" ht="15" customHeight="1">
      <c r="B74" s="194"/>
      <c r="C74" s="194"/>
    </row>
    <row r="75" spans="2:3" ht="15" customHeight="1">
      <c r="B75" s="194"/>
      <c r="C75" s="194"/>
    </row>
    <row r="76" spans="2:3" ht="15" customHeight="1">
      <c r="B76" s="194"/>
      <c r="C76" s="194"/>
    </row>
    <row r="77" spans="2:3" ht="15" customHeight="1">
      <c r="B77" s="194"/>
      <c r="C77" s="194"/>
    </row>
    <row r="78" spans="2:3" ht="15" customHeight="1">
      <c r="B78" s="194"/>
      <c r="C78" s="194"/>
    </row>
    <row r="79" spans="2:3" ht="15" customHeight="1">
      <c r="B79" s="194"/>
      <c r="C79" s="194"/>
    </row>
    <row r="80" spans="2:3" ht="15" customHeight="1">
      <c r="B80" s="194"/>
      <c r="C80" s="194"/>
    </row>
    <row r="81" spans="2:3" ht="15" customHeight="1">
      <c r="B81" s="194"/>
      <c r="C81" s="194"/>
    </row>
    <row r="82" spans="2:3" ht="15" customHeight="1">
      <c r="B82" s="194"/>
      <c r="C82" s="194"/>
    </row>
    <row r="83" spans="2:3" ht="15" customHeight="1">
      <c r="B83" s="194"/>
      <c r="C83" s="194"/>
    </row>
    <row r="84" spans="2:3" ht="15" customHeight="1">
      <c r="B84" s="194"/>
      <c r="C84" s="194"/>
    </row>
    <row r="85" spans="2:3" ht="15" customHeight="1">
      <c r="B85" s="194"/>
      <c r="C85" s="194"/>
    </row>
    <row r="86" spans="2:3" ht="15" customHeight="1">
      <c r="B86" s="194"/>
      <c r="C86" s="194"/>
    </row>
    <row r="87" spans="2:3" ht="15" customHeight="1">
      <c r="B87" s="194"/>
      <c r="C87" s="194"/>
    </row>
    <row r="88" spans="2:3" ht="15" customHeight="1">
      <c r="B88" s="194"/>
      <c r="C88" s="194"/>
    </row>
    <row r="89" spans="2:3" ht="15" customHeight="1">
      <c r="B89" s="194"/>
      <c r="C89" s="194"/>
    </row>
    <row r="90" spans="2:3" ht="15" customHeight="1">
      <c r="B90" s="194"/>
      <c r="C90" s="194"/>
    </row>
    <row r="91" spans="2:3" ht="15" customHeight="1">
      <c r="B91" s="194"/>
      <c r="C91" s="194"/>
    </row>
    <row r="92" spans="2:3" ht="15" customHeight="1">
      <c r="B92" s="194"/>
      <c r="C92" s="194"/>
    </row>
    <row r="93" spans="2:3" ht="15" customHeight="1">
      <c r="B93" s="194"/>
      <c r="C93" s="194"/>
    </row>
    <row r="94" spans="2:3" ht="15" customHeight="1">
      <c r="B94" s="194"/>
      <c r="C94" s="194"/>
    </row>
    <row r="95" spans="2:3" ht="15" customHeight="1">
      <c r="B95" s="194"/>
      <c r="C95" s="194"/>
    </row>
    <row r="96" spans="2:3" ht="15" customHeight="1">
      <c r="B96" s="194"/>
      <c r="C96" s="194"/>
    </row>
    <row r="97" spans="2:3" ht="15" customHeight="1">
      <c r="B97" s="194"/>
      <c r="C97" s="194"/>
    </row>
    <row r="98" spans="2:3" ht="15" customHeight="1">
      <c r="B98" s="194"/>
      <c r="C98" s="194"/>
    </row>
    <row r="99" spans="2:3" ht="15" customHeight="1">
      <c r="B99" s="194"/>
      <c r="C99" s="194"/>
    </row>
    <row r="100" spans="2:3" ht="15" customHeight="1">
      <c r="B100" s="194"/>
      <c r="C100" s="194"/>
    </row>
    <row r="101" spans="2:3" ht="15" customHeight="1">
      <c r="B101" s="194"/>
      <c r="C101" s="194"/>
    </row>
    <row r="102" spans="2:3" ht="15" customHeight="1">
      <c r="B102" s="194"/>
      <c r="C102" s="194"/>
    </row>
    <row r="103" spans="2:3" ht="15" customHeight="1">
      <c r="B103" s="194"/>
      <c r="C103" s="194"/>
    </row>
    <row r="104" spans="2:3" ht="15" customHeight="1">
      <c r="B104" s="194"/>
      <c r="C104" s="194"/>
    </row>
    <row r="105" spans="2:3" ht="15" customHeight="1">
      <c r="B105" s="194"/>
      <c r="C105" s="194"/>
    </row>
    <row r="106" spans="2:3" ht="15" customHeight="1">
      <c r="B106" s="194"/>
      <c r="C106" s="194"/>
    </row>
    <row r="107" spans="2:3" ht="15" customHeight="1">
      <c r="B107" s="194"/>
      <c r="C107" s="194"/>
    </row>
    <row r="108" spans="2:3" ht="15" customHeight="1">
      <c r="B108" s="194"/>
      <c r="C108" s="194"/>
    </row>
    <row r="109" spans="2:3" ht="15" customHeight="1">
      <c r="B109" s="194"/>
      <c r="C109" s="194"/>
    </row>
    <row r="110" spans="2:3" ht="15" customHeight="1">
      <c r="B110" s="194"/>
      <c r="C110" s="194"/>
    </row>
    <row r="111" spans="2:3" ht="15" customHeight="1">
      <c r="B111" s="194"/>
      <c r="C111" s="194"/>
    </row>
    <row r="112" spans="2:3" ht="15" customHeight="1">
      <c r="B112" s="194"/>
      <c r="C112" s="194"/>
    </row>
  </sheetData>
  <printOptions horizontalCentered="1"/>
  <pageMargins left="0.7" right="0.7" top="0.75" bottom="0.75" header="0.3" footer="0.3"/>
  <pageSetup orientation="portrait" r:id="rId1"/>
  <headerFooter>
    <oddHeader>&amp;R&amp;"-,Regular"Attachment 2E</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V63"/>
  <sheetViews>
    <sheetView zoomScale="75" zoomScaleNormal="75" workbookViewId="0">
      <pane ySplit="3" topLeftCell="A4" activePane="bottomLeft" state="frozen"/>
      <selection pane="bottomLeft" activeCell="I38" sqref="I38"/>
    </sheetView>
  </sheetViews>
  <sheetFormatPr defaultColWidth="8" defaultRowHeight="11.25"/>
  <cols>
    <col min="1" max="1" width="11.5703125" style="2" customWidth="1"/>
    <col min="2" max="2" width="10.5703125" style="2" customWidth="1"/>
    <col min="3" max="3" width="4.7109375" style="2" customWidth="1"/>
    <col min="4" max="4" width="10.5703125" style="2" customWidth="1"/>
    <col min="5" max="5" width="4.7109375" style="2" customWidth="1"/>
    <col min="6" max="6" width="10.5703125" style="2" customWidth="1"/>
    <col min="7" max="7" width="4.7109375" style="2" customWidth="1"/>
    <col min="8" max="8" width="10.7109375" style="2" customWidth="1"/>
    <col min="9" max="9" width="4.7109375" style="2" customWidth="1"/>
    <col min="10" max="10" width="10.7109375" style="2" customWidth="1"/>
    <col min="11" max="11" width="4.7109375" style="2" customWidth="1"/>
    <col min="12" max="12" width="10.5703125" style="2" customWidth="1"/>
    <col min="13" max="13" width="4.7109375" style="2" customWidth="1"/>
    <col min="14" max="14" width="10.7109375" style="2" customWidth="1"/>
    <col min="15" max="15" width="4.7109375" style="2" customWidth="1"/>
    <col min="16" max="16384" width="8" style="2"/>
  </cols>
  <sheetData>
    <row r="1" spans="1:256" ht="15.75">
      <c r="A1" s="1" t="s">
        <v>16</v>
      </c>
      <c r="D1" s="3"/>
      <c r="E1" s="3"/>
      <c r="F1" s="4"/>
      <c r="G1" s="4"/>
      <c r="H1" s="4"/>
      <c r="I1" s="4"/>
      <c r="J1" s="27"/>
      <c r="K1" s="27"/>
      <c r="L1" s="28"/>
      <c r="M1" s="28"/>
      <c r="N1" s="28"/>
    </row>
    <row r="2" spans="1:256" ht="12.75" customHeight="1">
      <c r="A2" s="6" t="s">
        <v>17</v>
      </c>
      <c r="B2" s="3"/>
      <c r="C2" s="3"/>
      <c r="D2" s="3"/>
      <c r="E2" s="3"/>
      <c r="F2" s="4"/>
      <c r="G2" s="4"/>
      <c r="H2" s="5"/>
      <c r="I2" s="5"/>
      <c r="J2" s="5"/>
      <c r="K2" s="5"/>
      <c r="L2" s="5"/>
      <c r="M2" s="5"/>
      <c r="N2" s="5"/>
    </row>
    <row r="3" spans="1:256" ht="12">
      <c r="A3" s="5"/>
      <c r="B3" s="7" t="s">
        <v>9</v>
      </c>
      <c r="C3" s="7"/>
      <c r="D3" s="7" t="s">
        <v>10</v>
      </c>
      <c r="E3" s="7"/>
      <c r="F3" s="7" t="s">
        <v>11</v>
      </c>
      <c r="G3" s="7"/>
      <c r="H3" s="7" t="s">
        <v>15</v>
      </c>
      <c r="I3" s="7"/>
      <c r="J3" s="7" t="s">
        <v>12</v>
      </c>
      <c r="K3" s="7"/>
      <c r="L3" s="7" t="s">
        <v>13</v>
      </c>
      <c r="M3" s="7"/>
      <c r="N3" s="7" t="s">
        <v>18</v>
      </c>
    </row>
    <row r="4" spans="1:256" ht="12">
      <c r="A4" s="8" t="s">
        <v>19</v>
      </c>
      <c r="B4" s="9">
        <v>2535</v>
      </c>
      <c r="C4" s="10"/>
      <c r="D4" s="11">
        <v>2535</v>
      </c>
      <c r="E4" s="10"/>
      <c r="F4" s="11">
        <v>2535</v>
      </c>
      <c r="G4" s="10"/>
      <c r="H4" s="11">
        <v>2535</v>
      </c>
      <c r="I4" s="10"/>
      <c r="J4" s="9">
        <v>2535</v>
      </c>
      <c r="K4" s="10"/>
      <c r="L4" s="11">
        <v>2535</v>
      </c>
      <c r="M4" s="10"/>
      <c r="N4" s="11">
        <f t="shared" ref="N4:N15" si="0">+B4+D4+F4+H4+J4+L4</f>
        <v>15210</v>
      </c>
      <c r="O4" s="10"/>
      <c r="P4" s="12"/>
      <c r="Q4" s="8"/>
      <c r="R4" s="13"/>
      <c r="S4" s="13"/>
      <c r="T4" s="12"/>
      <c r="U4" s="12"/>
      <c r="V4" s="12"/>
      <c r="W4" s="12"/>
      <c r="X4" s="12"/>
      <c r="Y4" s="8"/>
      <c r="Z4" s="13"/>
      <c r="AA4" s="13"/>
      <c r="AB4" s="12"/>
      <c r="AC4" s="12"/>
      <c r="AD4" s="12"/>
      <c r="AE4" s="12"/>
      <c r="AF4" s="12"/>
      <c r="AG4" s="8"/>
      <c r="AH4" s="13"/>
      <c r="AI4" s="13"/>
      <c r="AJ4" s="12"/>
      <c r="AK4" s="12"/>
      <c r="AL4" s="12"/>
      <c r="AM4" s="12"/>
      <c r="AN4" s="12"/>
      <c r="AO4" s="8"/>
      <c r="AP4" s="13"/>
      <c r="AQ4" s="13"/>
      <c r="AR4" s="12"/>
      <c r="AS4" s="12"/>
      <c r="AT4" s="12"/>
      <c r="AU4" s="12"/>
      <c r="AV4" s="12"/>
      <c r="AW4" s="8"/>
      <c r="AX4" s="13"/>
      <c r="AY4" s="13"/>
      <c r="AZ4" s="12"/>
      <c r="BA4" s="12"/>
      <c r="BB4" s="12"/>
      <c r="BC4" s="12"/>
      <c r="BD4" s="12"/>
      <c r="BE4" s="8"/>
      <c r="BF4" s="13"/>
      <c r="BG4" s="13"/>
      <c r="BH4" s="12"/>
      <c r="BI4" s="12"/>
      <c r="BJ4" s="12"/>
      <c r="BK4" s="12"/>
      <c r="BL4" s="12"/>
      <c r="BM4" s="8"/>
      <c r="BN4" s="13"/>
      <c r="BO4" s="13"/>
      <c r="BP4" s="12"/>
      <c r="BQ4" s="12"/>
      <c r="BR4" s="12"/>
      <c r="BS4" s="12"/>
      <c r="BT4" s="12"/>
      <c r="BU4" s="8"/>
      <c r="BV4" s="13"/>
      <c r="BW4" s="13"/>
      <c r="BX4" s="12"/>
      <c r="BY4" s="12"/>
      <c r="BZ4" s="12"/>
      <c r="CA4" s="12"/>
      <c r="CB4" s="12"/>
      <c r="CC4" s="8"/>
      <c r="CD4" s="13"/>
      <c r="CE4" s="13"/>
      <c r="CF4" s="12"/>
      <c r="CG4" s="12"/>
      <c r="CH4" s="12"/>
      <c r="CI4" s="12"/>
      <c r="CJ4" s="12"/>
      <c r="CK4" s="8"/>
      <c r="CL4" s="13"/>
      <c r="CM4" s="13"/>
      <c r="CN4" s="12"/>
      <c r="CO4" s="12"/>
      <c r="CP4" s="12"/>
      <c r="CQ4" s="12"/>
      <c r="CR4" s="12"/>
      <c r="CS4" s="8"/>
      <c r="CT4" s="13"/>
      <c r="CU4" s="13"/>
      <c r="CV4" s="12"/>
      <c r="CW4" s="12"/>
      <c r="CX4" s="12"/>
      <c r="CY4" s="12"/>
      <c r="CZ4" s="12"/>
      <c r="DA4" s="8"/>
      <c r="DB4" s="13"/>
      <c r="DC4" s="13"/>
      <c r="DD4" s="12"/>
      <c r="DE4" s="12"/>
      <c r="DF4" s="12"/>
      <c r="DG4" s="12"/>
      <c r="DH4" s="12"/>
      <c r="DI4" s="8"/>
      <c r="DJ4" s="13"/>
      <c r="DK4" s="13"/>
      <c r="DL4" s="12"/>
      <c r="DM4" s="12"/>
      <c r="DN4" s="12"/>
      <c r="DO4" s="12"/>
      <c r="DP4" s="12"/>
      <c r="DQ4" s="8"/>
      <c r="DR4" s="13"/>
      <c r="DS4" s="13"/>
      <c r="DT4" s="12"/>
      <c r="DU4" s="12"/>
      <c r="DV4" s="12"/>
      <c r="DW4" s="12"/>
      <c r="DX4" s="12"/>
      <c r="DY4" s="8"/>
      <c r="DZ4" s="13"/>
      <c r="EA4" s="13"/>
      <c r="EB4" s="12"/>
      <c r="EC4" s="12"/>
      <c r="ED4" s="12"/>
      <c r="EE4" s="12"/>
      <c r="EF4" s="12"/>
      <c r="EG4" s="8"/>
      <c r="EH4" s="13"/>
      <c r="EI4" s="13"/>
      <c r="EJ4" s="12"/>
      <c r="EK4" s="12"/>
      <c r="EL4" s="12"/>
      <c r="EM4" s="12"/>
      <c r="EN4" s="12"/>
      <c r="EO4" s="8"/>
      <c r="EP4" s="13"/>
      <c r="EQ4" s="13"/>
      <c r="ER4" s="12"/>
      <c r="ES4" s="12"/>
      <c r="ET4" s="12"/>
      <c r="EU4" s="12"/>
      <c r="EV4" s="12"/>
      <c r="EW4" s="8"/>
      <c r="EX4" s="13"/>
      <c r="EY4" s="13"/>
      <c r="EZ4" s="12"/>
      <c r="FA4" s="12"/>
      <c r="FB4" s="12"/>
      <c r="FC4" s="12"/>
      <c r="FD4" s="12"/>
      <c r="FE4" s="8"/>
      <c r="FF4" s="13"/>
      <c r="FG4" s="13"/>
      <c r="FH4" s="12"/>
      <c r="FI4" s="12"/>
      <c r="FJ4" s="12"/>
      <c r="FK4" s="12"/>
      <c r="FL4" s="12"/>
      <c r="FM4" s="8"/>
      <c r="FN4" s="13"/>
      <c r="FO4" s="13"/>
      <c r="FP4" s="12"/>
      <c r="FQ4" s="12"/>
      <c r="FR4" s="12"/>
      <c r="FS4" s="12"/>
      <c r="FT4" s="12"/>
      <c r="FU4" s="8"/>
      <c r="FV4" s="13"/>
      <c r="FW4" s="13"/>
      <c r="FX4" s="12"/>
      <c r="FY4" s="12"/>
      <c r="FZ4" s="12"/>
      <c r="GA4" s="12"/>
      <c r="GB4" s="12"/>
      <c r="GC4" s="8"/>
      <c r="GD4" s="13"/>
      <c r="GE4" s="13"/>
      <c r="GF4" s="12"/>
      <c r="GG4" s="12"/>
      <c r="GH4" s="12"/>
      <c r="GI4" s="12"/>
      <c r="GJ4" s="12"/>
      <c r="GK4" s="8"/>
      <c r="GL4" s="13"/>
      <c r="GM4" s="13"/>
      <c r="GN4" s="12"/>
      <c r="GO4" s="12"/>
      <c r="GP4" s="12"/>
      <c r="GQ4" s="12"/>
      <c r="GR4" s="12"/>
      <c r="GS4" s="8"/>
      <c r="GT4" s="13"/>
      <c r="GU4" s="13"/>
      <c r="GV4" s="12"/>
      <c r="GW4" s="12"/>
      <c r="GX4" s="12"/>
      <c r="GY4" s="12"/>
      <c r="GZ4" s="12"/>
      <c r="HA4" s="8"/>
      <c r="HB4" s="13"/>
      <c r="HC4" s="13"/>
      <c r="HD4" s="12"/>
      <c r="HE4" s="12"/>
      <c r="HF4" s="12"/>
      <c r="HG4" s="12"/>
      <c r="HH4" s="12"/>
      <c r="HI4" s="8"/>
      <c r="HJ4" s="13"/>
      <c r="HK4" s="13"/>
      <c r="HL4" s="12"/>
      <c r="HM4" s="12"/>
      <c r="HN4" s="12"/>
      <c r="HO4" s="12"/>
      <c r="HP4" s="12"/>
      <c r="HQ4" s="8"/>
      <c r="HR4" s="13"/>
      <c r="HS4" s="13"/>
      <c r="HT4" s="12"/>
      <c r="HU4" s="12"/>
      <c r="HV4" s="12"/>
      <c r="HW4" s="12"/>
      <c r="HX4" s="12"/>
      <c r="HY4" s="8"/>
      <c r="HZ4" s="13"/>
      <c r="IA4" s="13"/>
      <c r="IB4" s="12"/>
      <c r="IC4" s="12"/>
      <c r="ID4" s="12"/>
      <c r="IE4" s="12"/>
      <c r="IF4" s="12"/>
      <c r="IG4" s="8"/>
      <c r="IH4" s="13"/>
      <c r="II4" s="13"/>
      <c r="IJ4" s="12"/>
      <c r="IK4" s="12"/>
      <c r="IL4" s="12"/>
      <c r="IM4" s="12"/>
      <c r="IN4" s="12"/>
      <c r="IO4" s="8"/>
      <c r="IP4" s="13"/>
      <c r="IQ4" s="13"/>
      <c r="IR4" s="12"/>
      <c r="IS4" s="12"/>
      <c r="IT4" s="12"/>
      <c r="IU4" s="12"/>
      <c r="IV4" s="12"/>
    </row>
    <row r="5" spans="1:256" ht="12">
      <c r="A5" s="8" t="s">
        <v>20</v>
      </c>
      <c r="B5" s="13">
        <v>2535</v>
      </c>
      <c r="C5" s="10">
        <f t="shared" ref="C5:C15" si="1">(+B5-B4)/B4</f>
        <v>0</v>
      </c>
      <c r="D5" s="12">
        <v>2535</v>
      </c>
      <c r="E5" s="10">
        <f t="shared" ref="E5:E15" si="2">(+D5-D4)/D4</f>
        <v>0</v>
      </c>
      <c r="F5" s="12">
        <v>2535</v>
      </c>
      <c r="G5" s="10">
        <f t="shared" ref="G5:G15" si="3">(+F5-F4)/F4</f>
        <v>0</v>
      </c>
      <c r="H5" s="12">
        <v>2535</v>
      </c>
      <c r="I5" s="10">
        <f t="shared" ref="I5:I15" si="4">(+H5-H4)/H4</f>
        <v>0</v>
      </c>
      <c r="J5" s="13">
        <v>2535</v>
      </c>
      <c r="K5" s="10">
        <f t="shared" ref="K5:K15" si="5">(+J5-J4)/J4</f>
        <v>0</v>
      </c>
      <c r="L5" s="12">
        <v>2535</v>
      </c>
      <c r="M5" s="10">
        <f t="shared" ref="M5:M15" si="6">(+L5-L4)/L4</f>
        <v>0</v>
      </c>
      <c r="N5" s="14">
        <f t="shared" si="0"/>
        <v>15210</v>
      </c>
      <c r="O5" s="10">
        <f t="shared" ref="O5:O15" si="7">(+N5-N4)/N4</f>
        <v>0</v>
      </c>
      <c r="P5" s="12"/>
      <c r="Q5" s="15"/>
      <c r="R5" s="13"/>
      <c r="S5" s="13"/>
      <c r="T5" s="12"/>
      <c r="U5" s="12"/>
      <c r="V5" s="12"/>
      <c r="W5" s="12"/>
      <c r="X5" s="12"/>
      <c r="Y5" s="15"/>
      <c r="Z5" s="13"/>
      <c r="AA5" s="13"/>
      <c r="AB5" s="12"/>
      <c r="AC5" s="12"/>
      <c r="AD5" s="12"/>
      <c r="AE5" s="12"/>
      <c r="AF5" s="12"/>
      <c r="AG5" s="15"/>
      <c r="AH5" s="13"/>
      <c r="AI5" s="13"/>
      <c r="AJ5" s="12"/>
      <c r="AK5" s="12"/>
      <c r="AL5" s="12"/>
      <c r="AM5" s="12"/>
      <c r="AN5" s="12"/>
      <c r="AO5" s="15"/>
      <c r="AP5" s="13"/>
      <c r="AQ5" s="13"/>
      <c r="AR5" s="12"/>
      <c r="AS5" s="12"/>
      <c r="AT5" s="12"/>
      <c r="AU5" s="12"/>
      <c r="AV5" s="12"/>
      <c r="AW5" s="15"/>
      <c r="AX5" s="13"/>
      <c r="AY5" s="13"/>
      <c r="AZ5" s="12"/>
      <c r="BA5" s="12"/>
      <c r="BB5" s="12"/>
      <c r="BC5" s="12"/>
      <c r="BD5" s="12"/>
      <c r="BE5" s="15"/>
      <c r="BF5" s="13"/>
      <c r="BG5" s="13"/>
      <c r="BH5" s="12"/>
      <c r="BI5" s="12"/>
      <c r="BJ5" s="12"/>
      <c r="BK5" s="12"/>
      <c r="BL5" s="12"/>
      <c r="BM5" s="15"/>
      <c r="BN5" s="13"/>
      <c r="BO5" s="13"/>
      <c r="BP5" s="12"/>
      <c r="BQ5" s="12"/>
      <c r="BR5" s="12"/>
      <c r="BS5" s="12"/>
      <c r="BT5" s="12"/>
      <c r="BU5" s="15"/>
      <c r="BV5" s="13"/>
      <c r="BW5" s="13"/>
      <c r="BX5" s="12"/>
      <c r="BY5" s="12"/>
      <c r="BZ5" s="12"/>
      <c r="CA5" s="12"/>
      <c r="CB5" s="12"/>
      <c r="CC5" s="15"/>
      <c r="CD5" s="13"/>
      <c r="CE5" s="13"/>
      <c r="CF5" s="12"/>
      <c r="CG5" s="12"/>
      <c r="CH5" s="12"/>
      <c r="CI5" s="12"/>
      <c r="CJ5" s="12"/>
      <c r="CK5" s="15"/>
      <c r="CL5" s="13"/>
      <c r="CM5" s="13"/>
      <c r="CN5" s="12"/>
      <c r="CO5" s="12"/>
      <c r="CP5" s="12"/>
      <c r="CQ5" s="12"/>
      <c r="CR5" s="12"/>
      <c r="CS5" s="15"/>
      <c r="CT5" s="13"/>
      <c r="CU5" s="13"/>
      <c r="CV5" s="12"/>
      <c r="CW5" s="12"/>
      <c r="CX5" s="12"/>
      <c r="CY5" s="12"/>
      <c r="CZ5" s="12"/>
      <c r="DA5" s="15"/>
      <c r="DB5" s="13"/>
      <c r="DC5" s="13"/>
      <c r="DD5" s="12"/>
      <c r="DE5" s="12"/>
      <c r="DF5" s="12"/>
      <c r="DG5" s="12"/>
      <c r="DH5" s="12"/>
      <c r="DI5" s="15"/>
      <c r="DJ5" s="13"/>
      <c r="DK5" s="13"/>
      <c r="DL5" s="12"/>
      <c r="DM5" s="12"/>
      <c r="DN5" s="12"/>
      <c r="DO5" s="12"/>
      <c r="DP5" s="12"/>
      <c r="DQ5" s="15"/>
      <c r="DR5" s="13"/>
      <c r="DS5" s="13"/>
      <c r="DT5" s="12"/>
      <c r="DU5" s="12"/>
      <c r="DV5" s="12"/>
      <c r="DW5" s="12"/>
      <c r="DX5" s="12"/>
      <c r="DY5" s="15"/>
      <c r="DZ5" s="13"/>
      <c r="EA5" s="13"/>
      <c r="EB5" s="12"/>
      <c r="EC5" s="12"/>
      <c r="ED5" s="12"/>
      <c r="EE5" s="12"/>
      <c r="EF5" s="12"/>
      <c r="EG5" s="15"/>
      <c r="EH5" s="13"/>
      <c r="EI5" s="13"/>
      <c r="EJ5" s="12"/>
      <c r="EK5" s="12"/>
      <c r="EL5" s="12"/>
      <c r="EM5" s="12"/>
      <c r="EN5" s="12"/>
      <c r="EO5" s="15"/>
      <c r="EP5" s="13"/>
      <c r="EQ5" s="13"/>
      <c r="ER5" s="12"/>
      <c r="ES5" s="12"/>
      <c r="ET5" s="12"/>
      <c r="EU5" s="12"/>
      <c r="EV5" s="12"/>
      <c r="EW5" s="15"/>
      <c r="EX5" s="13"/>
      <c r="EY5" s="13"/>
      <c r="EZ5" s="12"/>
      <c r="FA5" s="12"/>
      <c r="FB5" s="12"/>
      <c r="FC5" s="12"/>
      <c r="FD5" s="12"/>
      <c r="FE5" s="15"/>
      <c r="FF5" s="13"/>
      <c r="FG5" s="13"/>
      <c r="FH5" s="12"/>
      <c r="FI5" s="12"/>
      <c r="FJ5" s="12"/>
      <c r="FK5" s="12"/>
      <c r="FL5" s="12"/>
      <c r="FM5" s="15"/>
      <c r="FN5" s="13"/>
      <c r="FO5" s="13"/>
      <c r="FP5" s="12"/>
      <c r="FQ5" s="12"/>
      <c r="FR5" s="12"/>
      <c r="FS5" s="12"/>
      <c r="FT5" s="12"/>
      <c r="FU5" s="15"/>
      <c r="FV5" s="13"/>
      <c r="FW5" s="13"/>
      <c r="FX5" s="12"/>
      <c r="FY5" s="12"/>
      <c r="FZ5" s="12"/>
      <c r="GA5" s="12"/>
      <c r="GB5" s="12"/>
      <c r="GC5" s="15"/>
      <c r="GD5" s="13"/>
      <c r="GE5" s="13"/>
      <c r="GF5" s="12"/>
      <c r="GG5" s="12"/>
      <c r="GH5" s="12"/>
      <c r="GI5" s="12"/>
      <c r="GJ5" s="12"/>
      <c r="GK5" s="15"/>
      <c r="GL5" s="13"/>
      <c r="GM5" s="13"/>
      <c r="GN5" s="12"/>
      <c r="GO5" s="12"/>
      <c r="GP5" s="12"/>
      <c r="GQ5" s="12"/>
      <c r="GR5" s="12"/>
      <c r="GS5" s="15"/>
      <c r="GT5" s="13"/>
      <c r="GU5" s="13"/>
      <c r="GV5" s="12"/>
      <c r="GW5" s="12"/>
      <c r="GX5" s="12"/>
      <c r="GY5" s="12"/>
      <c r="GZ5" s="12"/>
      <c r="HA5" s="15"/>
      <c r="HB5" s="13"/>
      <c r="HC5" s="13"/>
      <c r="HD5" s="12"/>
      <c r="HE5" s="12"/>
      <c r="HF5" s="12"/>
      <c r="HG5" s="12"/>
      <c r="HH5" s="12"/>
      <c r="HI5" s="15"/>
      <c r="HJ5" s="13"/>
      <c r="HK5" s="13"/>
      <c r="HL5" s="12"/>
      <c r="HM5" s="12"/>
      <c r="HN5" s="12"/>
      <c r="HO5" s="12"/>
      <c r="HP5" s="12"/>
      <c r="HQ5" s="15"/>
      <c r="HR5" s="13"/>
      <c r="HS5" s="13"/>
      <c r="HT5" s="12"/>
      <c r="HU5" s="12"/>
      <c r="HV5" s="12"/>
      <c r="HW5" s="12"/>
      <c r="HX5" s="12"/>
      <c r="HY5" s="15"/>
      <c r="HZ5" s="13"/>
      <c r="IA5" s="13"/>
      <c r="IB5" s="12"/>
      <c r="IC5" s="12"/>
      <c r="ID5" s="12"/>
      <c r="IE5" s="12"/>
      <c r="IF5" s="12"/>
      <c r="IG5" s="15"/>
      <c r="IH5" s="13"/>
      <c r="II5" s="13"/>
      <c r="IJ5" s="12"/>
      <c r="IK5" s="12"/>
      <c r="IL5" s="12"/>
      <c r="IM5" s="12"/>
      <c r="IN5" s="12"/>
      <c r="IO5" s="15"/>
      <c r="IP5" s="13"/>
      <c r="IQ5" s="13"/>
      <c r="IR5" s="12"/>
      <c r="IS5" s="12"/>
      <c r="IT5" s="12"/>
      <c r="IU5" s="12"/>
      <c r="IV5" s="12"/>
    </row>
    <row r="6" spans="1:256" ht="12">
      <c r="A6" s="8" t="s">
        <v>21</v>
      </c>
      <c r="B6" s="13">
        <v>2660</v>
      </c>
      <c r="C6" s="10">
        <f t="shared" si="1"/>
        <v>4.9309664694280081E-2</v>
      </c>
      <c r="D6" s="12">
        <v>2660</v>
      </c>
      <c r="E6" s="10">
        <f t="shared" si="2"/>
        <v>4.9309664694280081E-2</v>
      </c>
      <c r="F6" s="12">
        <v>2660</v>
      </c>
      <c r="G6" s="10">
        <f t="shared" si="3"/>
        <v>4.9309664694280081E-2</v>
      </c>
      <c r="H6" s="12">
        <v>2660</v>
      </c>
      <c r="I6" s="10">
        <f t="shared" si="4"/>
        <v>4.9309664694280081E-2</v>
      </c>
      <c r="J6" s="13">
        <v>2660</v>
      </c>
      <c r="K6" s="10">
        <f t="shared" si="5"/>
        <v>4.9309664694280081E-2</v>
      </c>
      <c r="L6" s="12">
        <v>2660</v>
      </c>
      <c r="M6" s="10">
        <f t="shared" si="6"/>
        <v>4.9309664694280081E-2</v>
      </c>
      <c r="N6" s="14">
        <f t="shared" si="0"/>
        <v>15960</v>
      </c>
      <c r="O6" s="10">
        <f t="shared" si="7"/>
        <v>4.9309664694280081E-2</v>
      </c>
      <c r="P6" s="12"/>
      <c r="Q6" s="8"/>
      <c r="R6" s="13"/>
      <c r="S6" s="13"/>
      <c r="T6" s="12"/>
      <c r="U6" s="12"/>
      <c r="V6" s="12"/>
      <c r="W6" s="12"/>
      <c r="X6" s="12"/>
      <c r="Y6" s="8"/>
      <c r="Z6" s="13"/>
      <c r="AA6" s="13"/>
      <c r="AB6" s="12"/>
      <c r="AC6" s="12"/>
      <c r="AD6" s="12"/>
      <c r="AE6" s="12"/>
      <c r="AF6" s="12"/>
      <c r="AG6" s="8"/>
      <c r="AH6" s="13"/>
      <c r="AI6" s="13"/>
      <c r="AJ6" s="12"/>
      <c r="AK6" s="12"/>
      <c r="AL6" s="12"/>
      <c r="AM6" s="12"/>
      <c r="AN6" s="12"/>
      <c r="AO6" s="8"/>
      <c r="AP6" s="13"/>
      <c r="AQ6" s="13"/>
      <c r="AR6" s="12"/>
      <c r="AS6" s="12"/>
      <c r="AT6" s="12"/>
      <c r="AU6" s="12"/>
      <c r="AV6" s="12"/>
      <c r="AW6" s="8"/>
      <c r="AX6" s="13"/>
      <c r="AY6" s="13"/>
      <c r="AZ6" s="12"/>
      <c r="BA6" s="12"/>
      <c r="BB6" s="12"/>
      <c r="BC6" s="12"/>
      <c r="BD6" s="12"/>
      <c r="BE6" s="8"/>
      <c r="BF6" s="13"/>
      <c r="BG6" s="13"/>
      <c r="BH6" s="12"/>
      <c r="BI6" s="12"/>
      <c r="BJ6" s="12"/>
      <c r="BK6" s="12"/>
      <c r="BL6" s="12"/>
      <c r="BM6" s="8"/>
      <c r="BN6" s="13"/>
      <c r="BO6" s="13"/>
      <c r="BP6" s="12"/>
      <c r="BQ6" s="12"/>
      <c r="BR6" s="12"/>
      <c r="BS6" s="12"/>
      <c r="BT6" s="12"/>
      <c r="BU6" s="8"/>
      <c r="BV6" s="13"/>
      <c r="BW6" s="13"/>
      <c r="BX6" s="12"/>
      <c r="BY6" s="12"/>
      <c r="BZ6" s="12"/>
      <c r="CA6" s="12"/>
      <c r="CB6" s="12"/>
      <c r="CC6" s="8"/>
      <c r="CD6" s="13"/>
      <c r="CE6" s="13"/>
      <c r="CF6" s="12"/>
      <c r="CG6" s="12"/>
      <c r="CH6" s="12"/>
      <c r="CI6" s="12"/>
      <c r="CJ6" s="12"/>
      <c r="CK6" s="8"/>
      <c r="CL6" s="13"/>
      <c r="CM6" s="13"/>
      <c r="CN6" s="12"/>
      <c r="CO6" s="12"/>
      <c r="CP6" s="12"/>
      <c r="CQ6" s="12"/>
      <c r="CR6" s="12"/>
      <c r="CS6" s="8"/>
      <c r="CT6" s="13"/>
      <c r="CU6" s="13"/>
      <c r="CV6" s="12"/>
      <c r="CW6" s="12"/>
      <c r="CX6" s="12"/>
      <c r="CY6" s="12"/>
      <c r="CZ6" s="12"/>
      <c r="DA6" s="8"/>
      <c r="DB6" s="13"/>
      <c r="DC6" s="13"/>
      <c r="DD6" s="12"/>
      <c r="DE6" s="12"/>
      <c r="DF6" s="12"/>
      <c r="DG6" s="12"/>
      <c r="DH6" s="12"/>
      <c r="DI6" s="8"/>
      <c r="DJ6" s="13"/>
      <c r="DK6" s="13"/>
      <c r="DL6" s="12"/>
      <c r="DM6" s="12"/>
      <c r="DN6" s="12"/>
      <c r="DO6" s="12"/>
      <c r="DP6" s="12"/>
      <c r="DQ6" s="8"/>
      <c r="DR6" s="13"/>
      <c r="DS6" s="13"/>
      <c r="DT6" s="12"/>
      <c r="DU6" s="12"/>
      <c r="DV6" s="12"/>
      <c r="DW6" s="12"/>
      <c r="DX6" s="12"/>
      <c r="DY6" s="8"/>
      <c r="DZ6" s="13"/>
      <c r="EA6" s="13"/>
      <c r="EB6" s="12"/>
      <c r="EC6" s="12"/>
      <c r="ED6" s="12"/>
      <c r="EE6" s="12"/>
      <c r="EF6" s="12"/>
      <c r="EG6" s="8"/>
      <c r="EH6" s="13"/>
      <c r="EI6" s="13"/>
      <c r="EJ6" s="12"/>
      <c r="EK6" s="12"/>
      <c r="EL6" s="12"/>
      <c r="EM6" s="12"/>
      <c r="EN6" s="12"/>
      <c r="EO6" s="8"/>
      <c r="EP6" s="13"/>
      <c r="EQ6" s="13"/>
      <c r="ER6" s="12"/>
      <c r="ES6" s="12"/>
      <c r="ET6" s="12"/>
      <c r="EU6" s="12"/>
      <c r="EV6" s="12"/>
      <c r="EW6" s="8"/>
      <c r="EX6" s="13"/>
      <c r="EY6" s="13"/>
      <c r="EZ6" s="12"/>
      <c r="FA6" s="12"/>
      <c r="FB6" s="12"/>
      <c r="FC6" s="12"/>
      <c r="FD6" s="12"/>
      <c r="FE6" s="8"/>
      <c r="FF6" s="13"/>
      <c r="FG6" s="13"/>
      <c r="FH6" s="12"/>
      <c r="FI6" s="12"/>
      <c r="FJ6" s="12"/>
      <c r="FK6" s="12"/>
      <c r="FL6" s="12"/>
      <c r="FM6" s="8"/>
      <c r="FN6" s="13"/>
      <c r="FO6" s="13"/>
      <c r="FP6" s="12"/>
      <c r="FQ6" s="12"/>
      <c r="FR6" s="12"/>
      <c r="FS6" s="12"/>
      <c r="FT6" s="12"/>
      <c r="FU6" s="8"/>
      <c r="FV6" s="13"/>
      <c r="FW6" s="13"/>
      <c r="FX6" s="12"/>
      <c r="FY6" s="12"/>
      <c r="FZ6" s="12"/>
      <c r="GA6" s="12"/>
      <c r="GB6" s="12"/>
      <c r="GC6" s="8"/>
      <c r="GD6" s="13"/>
      <c r="GE6" s="13"/>
      <c r="GF6" s="12"/>
      <c r="GG6" s="12"/>
      <c r="GH6" s="12"/>
      <c r="GI6" s="12"/>
      <c r="GJ6" s="12"/>
      <c r="GK6" s="8"/>
      <c r="GL6" s="13"/>
      <c r="GM6" s="13"/>
      <c r="GN6" s="12"/>
      <c r="GO6" s="12"/>
      <c r="GP6" s="12"/>
      <c r="GQ6" s="12"/>
      <c r="GR6" s="12"/>
      <c r="GS6" s="8"/>
      <c r="GT6" s="13"/>
      <c r="GU6" s="13"/>
      <c r="GV6" s="12"/>
      <c r="GW6" s="12"/>
      <c r="GX6" s="12"/>
      <c r="GY6" s="12"/>
      <c r="GZ6" s="12"/>
      <c r="HA6" s="8"/>
      <c r="HB6" s="13"/>
      <c r="HC6" s="13"/>
      <c r="HD6" s="12"/>
      <c r="HE6" s="12"/>
      <c r="HF6" s="12"/>
      <c r="HG6" s="12"/>
      <c r="HH6" s="12"/>
      <c r="HI6" s="8"/>
      <c r="HJ6" s="13"/>
      <c r="HK6" s="13"/>
      <c r="HL6" s="12"/>
      <c r="HM6" s="12"/>
      <c r="HN6" s="12"/>
      <c r="HO6" s="12"/>
      <c r="HP6" s="12"/>
      <c r="HQ6" s="8"/>
      <c r="HR6" s="13"/>
      <c r="HS6" s="13"/>
      <c r="HT6" s="12"/>
      <c r="HU6" s="12"/>
      <c r="HV6" s="12"/>
      <c r="HW6" s="12"/>
      <c r="HX6" s="12"/>
      <c r="HY6" s="8"/>
      <c r="HZ6" s="13"/>
      <c r="IA6" s="13"/>
      <c r="IB6" s="12"/>
      <c r="IC6" s="12"/>
      <c r="ID6" s="12"/>
      <c r="IE6" s="12"/>
      <c r="IF6" s="12"/>
      <c r="IG6" s="8"/>
      <c r="IH6" s="13"/>
      <c r="II6" s="13"/>
      <c r="IJ6" s="12"/>
      <c r="IK6" s="12"/>
      <c r="IL6" s="12"/>
      <c r="IM6" s="12"/>
      <c r="IN6" s="12"/>
      <c r="IO6" s="8"/>
      <c r="IP6" s="13"/>
      <c r="IQ6" s="13"/>
      <c r="IR6" s="12"/>
      <c r="IS6" s="12"/>
      <c r="IT6" s="12"/>
      <c r="IU6" s="12"/>
      <c r="IV6" s="12"/>
    </row>
    <row r="7" spans="1:256" ht="12">
      <c r="A7" s="8" t="s">
        <v>22</v>
      </c>
      <c r="B7" s="16">
        <v>2740</v>
      </c>
      <c r="C7" s="10">
        <f t="shared" si="1"/>
        <v>3.007518796992481E-2</v>
      </c>
      <c r="D7" s="16">
        <v>2740</v>
      </c>
      <c r="E7" s="10">
        <f t="shared" si="2"/>
        <v>3.007518796992481E-2</v>
      </c>
      <c r="F7" s="14">
        <v>2740</v>
      </c>
      <c r="G7" s="10">
        <f t="shared" si="3"/>
        <v>3.007518796992481E-2</v>
      </c>
      <c r="H7" s="14">
        <v>2740</v>
      </c>
      <c r="I7" s="10">
        <f t="shared" si="4"/>
        <v>3.007518796992481E-2</v>
      </c>
      <c r="J7" s="14">
        <v>2740</v>
      </c>
      <c r="K7" s="10">
        <f t="shared" si="5"/>
        <v>3.007518796992481E-2</v>
      </c>
      <c r="L7" s="14">
        <v>2740</v>
      </c>
      <c r="M7" s="10">
        <f t="shared" si="6"/>
        <v>3.007518796992481E-2</v>
      </c>
      <c r="N7" s="14">
        <f t="shared" si="0"/>
        <v>16440</v>
      </c>
      <c r="O7" s="10">
        <f t="shared" si="7"/>
        <v>3.007518796992481E-2</v>
      </c>
    </row>
    <row r="8" spans="1:256" ht="12">
      <c r="A8" s="8" t="s">
        <v>23</v>
      </c>
      <c r="B8" s="16">
        <v>2740</v>
      </c>
      <c r="C8" s="10">
        <f t="shared" si="1"/>
        <v>0</v>
      </c>
      <c r="D8" s="16">
        <v>2740</v>
      </c>
      <c r="E8" s="10">
        <f t="shared" si="2"/>
        <v>0</v>
      </c>
      <c r="F8" s="14">
        <v>2740</v>
      </c>
      <c r="G8" s="10">
        <f t="shared" si="3"/>
        <v>0</v>
      </c>
      <c r="H8" s="14">
        <v>2740</v>
      </c>
      <c r="I8" s="10">
        <f t="shared" si="4"/>
        <v>0</v>
      </c>
      <c r="J8" s="14">
        <v>2740</v>
      </c>
      <c r="K8" s="10">
        <f t="shared" si="5"/>
        <v>0</v>
      </c>
      <c r="L8" s="14">
        <v>2740</v>
      </c>
      <c r="M8" s="10">
        <f t="shared" si="6"/>
        <v>0</v>
      </c>
      <c r="N8" s="14">
        <f t="shared" si="0"/>
        <v>16440</v>
      </c>
      <c r="O8" s="10">
        <f t="shared" si="7"/>
        <v>0</v>
      </c>
    </row>
    <row r="9" spans="1:256" ht="12">
      <c r="A9" s="8" t="s">
        <v>24</v>
      </c>
      <c r="B9" s="16">
        <v>2740</v>
      </c>
      <c r="C9" s="10">
        <f t="shared" si="1"/>
        <v>0</v>
      </c>
      <c r="D9" s="16">
        <v>2740</v>
      </c>
      <c r="E9" s="10">
        <f t="shared" si="2"/>
        <v>0</v>
      </c>
      <c r="F9" s="14">
        <v>2740</v>
      </c>
      <c r="G9" s="10">
        <f t="shared" si="3"/>
        <v>0</v>
      </c>
      <c r="H9" s="14">
        <v>2740</v>
      </c>
      <c r="I9" s="10">
        <f t="shared" si="4"/>
        <v>0</v>
      </c>
      <c r="J9" s="14">
        <v>2740</v>
      </c>
      <c r="K9" s="10">
        <f t="shared" si="5"/>
        <v>0</v>
      </c>
      <c r="L9" s="14">
        <v>2740</v>
      </c>
      <c r="M9" s="10">
        <f t="shared" si="6"/>
        <v>0</v>
      </c>
      <c r="N9" s="14">
        <f t="shared" si="0"/>
        <v>16440</v>
      </c>
      <c r="O9" s="10">
        <f t="shared" si="7"/>
        <v>0</v>
      </c>
    </row>
    <row r="10" spans="1:256" ht="12">
      <c r="A10" s="8" t="s">
        <v>25</v>
      </c>
      <c r="B10" s="16">
        <v>3342</v>
      </c>
      <c r="C10" s="10">
        <f t="shared" si="1"/>
        <v>0.2197080291970803</v>
      </c>
      <c r="D10" s="16">
        <v>2877</v>
      </c>
      <c r="E10" s="10">
        <f t="shared" si="2"/>
        <v>0.05</v>
      </c>
      <c r="F10" s="14">
        <v>2900</v>
      </c>
      <c r="G10" s="10">
        <f t="shared" si="3"/>
        <v>5.8394160583941604E-2</v>
      </c>
      <c r="H10" s="14">
        <v>3100</v>
      </c>
      <c r="I10" s="10">
        <f t="shared" si="4"/>
        <v>0.13138686131386862</v>
      </c>
      <c r="J10" s="14">
        <v>2932</v>
      </c>
      <c r="K10" s="10">
        <f t="shared" si="5"/>
        <v>7.0072992700729933E-2</v>
      </c>
      <c r="L10" s="14">
        <v>2900</v>
      </c>
      <c r="M10" s="10">
        <f t="shared" si="6"/>
        <v>5.8394160583941604E-2</v>
      </c>
      <c r="N10" s="14">
        <f t="shared" si="0"/>
        <v>18051</v>
      </c>
      <c r="O10" s="10">
        <f t="shared" si="7"/>
        <v>9.799270072992701E-2</v>
      </c>
    </row>
    <row r="11" spans="1:256" ht="12">
      <c r="A11" s="5" t="s">
        <v>26</v>
      </c>
      <c r="B11" s="17">
        <v>3844</v>
      </c>
      <c r="C11" s="10">
        <f t="shared" si="1"/>
        <v>0.15020945541591862</v>
      </c>
      <c r="D11" s="17">
        <v>3344</v>
      </c>
      <c r="E11" s="10">
        <f t="shared" si="2"/>
        <v>0.16232186305179006</v>
      </c>
      <c r="F11" s="17">
        <v>3245</v>
      </c>
      <c r="G11" s="10">
        <f t="shared" si="3"/>
        <v>0.11896551724137931</v>
      </c>
      <c r="H11" s="17">
        <v>3212</v>
      </c>
      <c r="I11" s="10">
        <f t="shared" si="4"/>
        <v>3.612903225806452E-2</v>
      </c>
      <c r="J11" s="17">
        <v>3620</v>
      </c>
      <c r="K11" s="10">
        <f t="shared" si="5"/>
        <v>0.23465211459754434</v>
      </c>
      <c r="L11" s="17">
        <v>3400</v>
      </c>
      <c r="M11" s="10">
        <f t="shared" si="6"/>
        <v>0.17241379310344829</v>
      </c>
      <c r="N11" s="14">
        <f t="shared" si="0"/>
        <v>20665</v>
      </c>
      <c r="O11" s="10">
        <f t="shared" si="7"/>
        <v>0.14481192177718685</v>
      </c>
      <c r="P11" s="18"/>
    </row>
    <row r="12" spans="1:256" ht="12">
      <c r="A12" s="5" t="s">
        <v>27</v>
      </c>
      <c r="B12" s="17">
        <f>3802+134</f>
        <v>3936</v>
      </c>
      <c r="C12" s="10">
        <f t="shared" si="1"/>
        <v>2.3933402705515087E-2</v>
      </c>
      <c r="D12" s="17">
        <f>2970+288</f>
        <v>3258</v>
      </c>
      <c r="E12" s="10">
        <f t="shared" si="2"/>
        <v>-2.5717703349282296E-2</v>
      </c>
      <c r="F12" s="17">
        <f>3148+128.7</f>
        <v>3276.7</v>
      </c>
      <c r="G12" s="10">
        <f t="shared" si="3"/>
        <v>9.7688751926039499E-3</v>
      </c>
      <c r="H12" s="17">
        <v>3258</v>
      </c>
      <c r="I12" s="10">
        <f t="shared" si="4"/>
        <v>1.4321295143212951E-2</v>
      </c>
      <c r="J12" s="17">
        <f>3696+267</f>
        <v>3963</v>
      </c>
      <c r="K12" s="10">
        <f t="shared" si="5"/>
        <v>9.475138121546961E-2</v>
      </c>
      <c r="L12" s="17">
        <f>3240+386</f>
        <v>3626</v>
      </c>
      <c r="M12" s="10">
        <f t="shared" si="6"/>
        <v>6.6470588235294115E-2</v>
      </c>
      <c r="N12" s="14">
        <f t="shared" si="0"/>
        <v>21317.7</v>
      </c>
      <c r="O12" s="10">
        <f t="shared" si="7"/>
        <v>3.1584805226227954E-2</v>
      </c>
    </row>
    <row r="13" spans="1:256" ht="12">
      <c r="A13" s="19" t="s">
        <v>28</v>
      </c>
      <c r="B13" s="17">
        <v>4366</v>
      </c>
      <c r="C13" s="10">
        <f t="shared" si="1"/>
        <v>0.1092479674796748</v>
      </c>
      <c r="D13" s="17">
        <v>3677</v>
      </c>
      <c r="E13" s="10">
        <f t="shared" si="2"/>
        <v>0.12860650705954574</v>
      </c>
      <c r="F13" s="17">
        <v>3716</v>
      </c>
      <c r="G13" s="10">
        <f t="shared" si="3"/>
        <v>0.13406781212805574</v>
      </c>
      <c r="H13" s="17">
        <v>3399</v>
      </c>
      <c r="I13" s="10">
        <f t="shared" si="4"/>
        <v>4.3278084714548803E-2</v>
      </c>
      <c r="J13" s="17">
        <v>3967</v>
      </c>
      <c r="K13" s="10">
        <f t="shared" si="5"/>
        <v>1.0093363613424174E-3</v>
      </c>
      <c r="L13" s="17">
        <v>3798</v>
      </c>
      <c r="M13" s="10">
        <f t="shared" si="6"/>
        <v>4.7435190292333153E-2</v>
      </c>
      <c r="N13" s="14">
        <f t="shared" si="0"/>
        <v>22923</v>
      </c>
      <c r="O13" s="10">
        <f t="shared" si="7"/>
        <v>7.5303620934716181E-2</v>
      </c>
    </row>
    <row r="14" spans="1:256" ht="12">
      <c r="A14" s="19" t="s">
        <v>29</v>
      </c>
      <c r="B14" s="17">
        <v>4597</v>
      </c>
      <c r="C14" s="10">
        <f t="shared" si="1"/>
        <v>5.2908841044434267E-2</v>
      </c>
      <c r="D14" s="17">
        <v>4018</v>
      </c>
      <c r="E14" s="10">
        <f t="shared" si="2"/>
        <v>9.2738645635028552E-2</v>
      </c>
      <c r="F14" s="17">
        <v>4171</v>
      </c>
      <c r="G14" s="10">
        <f t="shared" si="3"/>
        <v>0.12244348762109795</v>
      </c>
      <c r="H14" s="17">
        <v>3568</v>
      </c>
      <c r="I14" s="10">
        <f t="shared" si="4"/>
        <v>4.9720506031185642E-2</v>
      </c>
      <c r="J14" s="17">
        <v>4368</v>
      </c>
      <c r="K14" s="10">
        <f t="shared" si="5"/>
        <v>0.10108394252583816</v>
      </c>
      <c r="L14" s="17">
        <v>4180</v>
      </c>
      <c r="M14" s="10">
        <f t="shared" si="6"/>
        <v>0.10057925223802001</v>
      </c>
      <c r="N14" s="14">
        <f t="shared" si="0"/>
        <v>24902</v>
      </c>
      <c r="O14" s="10">
        <f t="shared" si="7"/>
        <v>8.6332504471491517E-2</v>
      </c>
    </row>
    <row r="15" spans="1:256" ht="12">
      <c r="A15" s="20" t="s">
        <v>30</v>
      </c>
      <c r="B15" s="17">
        <v>5006</v>
      </c>
      <c r="C15" s="10">
        <f t="shared" si="1"/>
        <v>8.8971068087883395E-2</v>
      </c>
      <c r="D15" s="17">
        <v>4297</v>
      </c>
      <c r="E15" s="10">
        <f t="shared" si="2"/>
        <v>6.9437531110004974E-2</v>
      </c>
      <c r="F15" s="17">
        <v>4347</v>
      </c>
      <c r="G15" s="10">
        <f t="shared" si="3"/>
        <v>4.2196116039319109E-2</v>
      </c>
      <c r="H15" s="17">
        <v>3712</v>
      </c>
      <c r="I15" s="10">
        <f t="shared" si="4"/>
        <v>4.0358744394618833E-2</v>
      </c>
      <c r="J15" s="17">
        <v>4620</v>
      </c>
      <c r="K15" s="10">
        <f t="shared" si="5"/>
        <v>5.7692307692307696E-2</v>
      </c>
      <c r="L15" s="17">
        <v>4600</v>
      </c>
      <c r="M15" s="10">
        <f t="shared" si="6"/>
        <v>0.10047846889952153</v>
      </c>
      <c r="N15" s="14">
        <f t="shared" si="0"/>
        <v>26582</v>
      </c>
      <c r="O15" s="10">
        <f t="shared" si="7"/>
        <v>6.7464460685888683E-2</v>
      </c>
    </row>
    <row r="16" spans="1:256" ht="12">
      <c r="A16" s="20" t="s">
        <v>35</v>
      </c>
      <c r="B16" s="17">
        <v>5012</v>
      </c>
      <c r="C16" s="10">
        <f>(+B16-B15)/B15</f>
        <v>1.1985617259288853E-3</v>
      </c>
      <c r="D16" s="17">
        <v>4716</v>
      </c>
      <c r="E16" s="10">
        <f>(+D16-D15)/D15</f>
        <v>9.750989062136374E-2</v>
      </c>
      <c r="F16" s="17">
        <v>4530</v>
      </c>
      <c r="G16" s="10">
        <f>(+F16-F15)/F15</f>
        <v>4.2097998619737752E-2</v>
      </c>
      <c r="H16" s="17">
        <v>4088</v>
      </c>
      <c r="I16" s="10">
        <f>(+H16-H15)/H15</f>
        <v>0.10129310344827586</v>
      </c>
      <c r="J16" s="17">
        <v>4850</v>
      </c>
      <c r="K16" s="10">
        <f>(+J16-J15)/J15</f>
        <v>4.9783549783549784E-2</v>
      </c>
      <c r="L16" s="17">
        <v>5060</v>
      </c>
      <c r="M16" s="10">
        <f>(+L16-L15)/L15</f>
        <v>0.1</v>
      </c>
      <c r="N16" s="14">
        <f>+B16+D16+F16+H16+J16+L16</f>
        <v>28256</v>
      </c>
      <c r="O16" s="10">
        <f>(+N16-N15)/N15</f>
        <v>6.2974945451809497E-2</v>
      </c>
    </row>
    <row r="17" spans="1:15" ht="12">
      <c r="A17" s="20" t="s">
        <v>38</v>
      </c>
      <c r="B17" s="30">
        <v>5166</v>
      </c>
      <c r="C17" s="10">
        <f>(+B17-B16)/B16</f>
        <v>3.0726256983240222E-2</v>
      </c>
      <c r="D17" s="30">
        <v>4874</v>
      </c>
      <c r="E17" s="10">
        <f>(+D17-D16)/D16</f>
        <v>3.3502968617472435E-2</v>
      </c>
      <c r="F17" s="30">
        <v>4963</v>
      </c>
      <c r="G17" s="10">
        <f>(+F17-F16)/F16</f>
        <v>9.5584988962472403E-2</v>
      </c>
      <c r="H17" s="30">
        <v>4688</v>
      </c>
      <c r="I17" s="10">
        <f>(+H17-H16)/H16</f>
        <v>0.14677103718199608</v>
      </c>
      <c r="J17" s="17">
        <v>5120</v>
      </c>
      <c r="K17" s="10">
        <f>(+J17-J16)/J16</f>
        <v>5.5670103092783509E-2</v>
      </c>
      <c r="L17" s="30">
        <v>5570</v>
      </c>
      <c r="M17" s="10">
        <f>(+L17-L16)/L16</f>
        <v>0.1007905138339921</v>
      </c>
      <c r="N17" s="14">
        <f>+B17+D17+F17+H17+J17+L17</f>
        <v>30381</v>
      </c>
      <c r="O17" s="10">
        <f>(+N17-N16)/N16</f>
        <v>7.5205266138165347E-2</v>
      </c>
    </row>
    <row r="18" spans="1:15" ht="12">
      <c r="A18" s="21"/>
      <c r="B18" s="5"/>
      <c r="C18" s="5"/>
      <c r="D18" s="5"/>
      <c r="E18" s="5"/>
      <c r="F18" s="5"/>
      <c r="G18" s="5"/>
      <c r="H18" s="5"/>
      <c r="I18" s="5"/>
      <c r="J18" s="5"/>
      <c r="K18" s="5"/>
      <c r="L18" s="5"/>
      <c r="M18" s="5"/>
      <c r="N18" s="5"/>
      <c r="O18" s="5"/>
    </row>
    <row r="19" spans="1:15" ht="12.75">
      <c r="A19" s="22" t="s">
        <v>41</v>
      </c>
      <c r="B19" s="17"/>
      <c r="C19" s="17"/>
      <c r="D19" s="17"/>
      <c r="E19" s="17"/>
      <c r="F19" s="17"/>
      <c r="G19" s="17"/>
      <c r="H19" s="17"/>
      <c r="I19" s="17"/>
      <c r="J19" s="17"/>
      <c r="K19" s="17"/>
      <c r="L19" s="17"/>
      <c r="M19" s="17"/>
      <c r="N19" s="17"/>
      <c r="O19" s="17"/>
    </row>
    <row r="20" spans="1:15" ht="15">
      <c r="B20" s="23"/>
      <c r="C20" s="5"/>
      <c r="D20" s="23"/>
      <c r="E20" s="5"/>
      <c r="F20" s="23"/>
      <c r="G20" s="5"/>
      <c r="H20" s="33"/>
      <c r="I20" s="5"/>
      <c r="J20" s="23"/>
      <c r="K20" s="5"/>
      <c r="L20" s="23"/>
      <c r="M20" s="5"/>
      <c r="N20" s="23"/>
      <c r="O20" s="5"/>
    </row>
    <row r="21" spans="1:15" ht="12">
      <c r="B21" s="17"/>
      <c r="C21" s="10"/>
      <c r="D21" s="17"/>
      <c r="E21" s="10"/>
      <c r="F21" s="17"/>
      <c r="G21" s="10"/>
      <c r="H21" s="17"/>
      <c r="I21" s="10"/>
      <c r="J21" s="17"/>
      <c r="K21" s="10"/>
      <c r="L21" s="17"/>
      <c r="M21" s="10"/>
      <c r="N21" s="14"/>
      <c r="O21" s="10"/>
    </row>
    <row r="52" spans="1:15" ht="12">
      <c r="A52" s="23"/>
      <c r="B52" s="7"/>
      <c r="C52" s="7"/>
      <c r="D52" s="7"/>
      <c r="E52" s="7"/>
      <c r="F52" s="7"/>
      <c r="G52" s="7"/>
      <c r="H52" s="7"/>
      <c r="I52" s="7"/>
      <c r="J52" s="7"/>
      <c r="K52" s="7"/>
      <c r="L52" s="7"/>
      <c r="M52" s="7"/>
      <c r="N52" s="7"/>
    </row>
    <row r="53" spans="1:15" ht="12">
      <c r="A53" s="8"/>
      <c r="B53" s="9"/>
      <c r="C53" s="10"/>
      <c r="D53" s="11"/>
      <c r="E53" s="10"/>
      <c r="F53" s="11"/>
      <c r="G53" s="10"/>
      <c r="H53" s="11"/>
      <c r="I53" s="10"/>
      <c r="J53" s="9"/>
      <c r="K53" s="10"/>
      <c r="L53" s="11"/>
      <c r="M53" s="10"/>
      <c r="N53" s="11"/>
      <c r="O53" s="10"/>
    </row>
    <row r="54" spans="1:15" ht="12">
      <c r="A54" s="8"/>
      <c r="B54" s="13"/>
      <c r="C54" s="10"/>
      <c r="D54" s="12"/>
      <c r="E54" s="10"/>
      <c r="F54" s="12"/>
      <c r="G54" s="10"/>
      <c r="H54" s="12"/>
      <c r="I54" s="10"/>
      <c r="J54" s="13"/>
      <c r="K54" s="10"/>
      <c r="L54" s="12"/>
      <c r="M54" s="10"/>
      <c r="N54" s="14"/>
      <c r="O54" s="10"/>
    </row>
    <row r="55" spans="1:15" ht="12">
      <c r="A55" s="8"/>
      <c r="B55" s="13"/>
      <c r="C55" s="10"/>
      <c r="D55" s="12"/>
      <c r="E55" s="10"/>
      <c r="F55" s="12"/>
      <c r="G55" s="10"/>
      <c r="H55" s="12"/>
      <c r="I55" s="10"/>
      <c r="J55" s="13"/>
      <c r="K55" s="10"/>
      <c r="L55" s="12"/>
      <c r="M55" s="10"/>
      <c r="N55" s="14"/>
      <c r="O55" s="10"/>
    </row>
    <row r="56" spans="1:15" ht="12">
      <c r="A56" s="8"/>
      <c r="B56" s="16"/>
      <c r="C56" s="10"/>
      <c r="D56" s="16"/>
      <c r="E56" s="10"/>
      <c r="F56" s="14"/>
      <c r="G56" s="10"/>
      <c r="H56" s="14"/>
      <c r="I56" s="10"/>
      <c r="J56" s="14"/>
      <c r="K56" s="10"/>
      <c r="L56" s="14"/>
      <c r="M56" s="10"/>
      <c r="N56" s="14"/>
      <c r="O56" s="10"/>
    </row>
    <row r="57" spans="1:15" ht="12">
      <c r="A57" s="5"/>
      <c r="B57" s="17"/>
      <c r="C57" s="10"/>
      <c r="D57" s="17"/>
      <c r="E57" s="10"/>
      <c r="F57" s="17"/>
      <c r="G57" s="10"/>
      <c r="H57" s="17"/>
      <c r="I57" s="10"/>
      <c r="J57" s="17"/>
      <c r="K57" s="10"/>
      <c r="L57" s="17"/>
      <c r="M57" s="10"/>
      <c r="N57" s="14"/>
      <c r="O57" s="10"/>
    </row>
    <row r="58" spans="1:15" ht="12">
      <c r="A58" s="5"/>
      <c r="B58" s="17"/>
      <c r="C58" s="10"/>
      <c r="D58" s="17"/>
      <c r="E58" s="10"/>
      <c r="F58" s="17"/>
      <c r="G58" s="10"/>
      <c r="H58" s="17"/>
      <c r="I58" s="10"/>
      <c r="J58" s="17"/>
      <c r="K58" s="10"/>
      <c r="L58" s="17"/>
      <c r="M58" s="10"/>
      <c r="N58" s="14"/>
      <c r="O58" s="10"/>
    </row>
    <row r="59" spans="1:15" ht="12">
      <c r="A59" s="19"/>
      <c r="B59" s="17"/>
      <c r="C59" s="10"/>
      <c r="D59" s="17"/>
      <c r="E59" s="10"/>
      <c r="F59" s="17"/>
      <c r="G59" s="10"/>
      <c r="H59" s="17"/>
      <c r="I59" s="10"/>
      <c r="J59" s="17"/>
      <c r="K59" s="10"/>
      <c r="L59" s="17"/>
      <c r="M59" s="10"/>
      <c r="N59" s="14"/>
      <c r="O59" s="10"/>
    </row>
    <row r="60" spans="1:15" ht="12">
      <c r="A60" s="19"/>
      <c r="B60" s="17"/>
      <c r="C60" s="10"/>
      <c r="D60" s="17"/>
      <c r="E60" s="10"/>
      <c r="F60" s="17"/>
      <c r="G60" s="10"/>
      <c r="H60" s="17"/>
      <c r="I60" s="10"/>
      <c r="J60" s="17"/>
      <c r="K60" s="10"/>
      <c r="L60" s="17"/>
      <c r="M60" s="10"/>
      <c r="N60" s="14"/>
      <c r="O60" s="10"/>
    </row>
    <row r="61" spans="1:15" ht="12">
      <c r="A61" s="20"/>
      <c r="B61" s="17"/>
      <c r="C61" s="10"/>
      <c r="D61" s="17"/>
      <c r="E61" s="10"/>
      <c r="F61" s="17"/>
      <c r="G61" s="10"/>
      <c r="H61" s="17"/>
      <c r="I61" s="10"/>
      <c r="J61" s="17"/>
      <c r="K61" s="10"/>
      <c r="L61" s="17"/>
      <c r="M61" s="10"/>
      <c r="N61" s="14"/>
      <c r="O61" s="10"/>
    </row>
    <row r="62" spans="1:15" ht="12">
      <c r="A62" s="21"/>
      <c r="B62" s="5"/>
      <c r="C62" s="5"/>
      <c r="D62" s="5"/>
      <c r="E62" s="5"/>
      <c r="F62" s="5"/>
      <c r="G62" s="5"/>
      <c r="H62" s="5"/>
      <c r="I62" s="5"/>
      <c r="J62" s="5"/>
      <c r="K62" s="5"/>
      <c r="L62" s="5"/>
      <c r="M62" s="5"/>
      <c r="N62" s="5"/>
      <c r="O62" s="5"/>
    </row>
    <row r="63" spans="1:15" ht="12.75">
      <c r="A63" s="22"/>
      <c r="B63" s="17"/>
      <c r="C63" s="17"/>
      <c r="D63" s="17"/>
      <c r="E63" s="17"/>
      <c r="F63" s="17"/>
      <c r="G63" s="17"/>
      <c r="H63" s="17"/>
      <c r="I63" s="17"/>
      <c r="J63" s="17"/>
      <c r="K63" s="17"/>
      <c r="L63" s="17"/>
      <c r="M63" s="17"/>
      <c r="N63" s="17"/>
      <c r="O63" s="17"/>
    </row>
  </sheetData>
  <phoneticPr fontId="6" type="noConversion"/>
  <pageMargins left="1" right="0.5" top="0.25" bottom="0" header="0" footer="0"/>
  <pageSetup orientation="landscape" r:id="rId1"/>
  <headerFooter alignWithMargins="0">
    <oddHeader xml:space="preserve">&amp;RAttachment A-1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V64"/>
  <sheetViews>
    <sheetView topLeftCell="A3" zoomScale="75" zoomScaleNormal="75" workbookViewId="0">
      <pane ySplit="1" topLeftCell="A7" activePane="bottomLeft" state="frozen"/>
      <selection activeCell="A3" sqref="A3"/>
      <selection pane="bottomLeft" activeCell="F35" sqref="F35"/>
    </sheetView>
  </sheetViews>
  <sheetFormatPr defaultColWidth="8" defaultRowHeight="11.25"/>
  <cols>
    <col min="1" max="1" width="11.5703125" style="2" customWidth="1"/>
    <col min="2" max="2" width="10.7109375" style="2" customWidth="1"/>
    <col min="3" max="3" width="4.7109375" style="2" customWidth="1"/>
    <col min="4" max="4" width="10.7109375" style="2" customWidth="1"/>
    <col min="5" max="5" width="4.7109375" style="2" customWidth="1"/>
    <col min="6" max="6" width="10.7109375" style="2" customWidth="1"/>
    <col min="7" max="7" width="4.7109375" style="2" customWidth="1"/>
    <col min="8" max="8" width="10.7109375" style="2" customWidth="1"/>
    <col min="9" max="9" width="4.7109375" style="2" customWidth="1"/>
    <col min="10" max="10" width="10.7109375" style="2" customWidth="1"/>
    <col min="11" max="11" width="4.7109375" style="2" customWidth="1"/>
    <col min="12" max="12" width="10.5703125" style="2" customWidth="1"/>
    <col min="13" max="13" width="4.7109375" style="2" customWidth="1"/>
    <col min="14" max="14" width="10.7109375" style="2" customWidth="1"/>
    <col min="15" max="15" width="4.7109375" style="2" customWidth="1"/>
    <col min="16" max="16384" width="8" style="2"/>
  </cols>
  <sheetData>
    <row r="1" spans="1:256" ht="15.75">
      <c r="A1" s="1" t="s">
        <v>16</v>
      </c>
      <c r="D1" s="3"/>
      <c r="E1" s="3"/>
      <c r="F1" s="4"/>
      <c r="G1" s="4"/>
      <c r="H1" s="4"/>
      <c r="I1" s="4"/>
      <c r="J1" s="4"/>
      <c r="K1" s="27"/>
      <c r="L1" s="27"/>
      <c r="M1" s="28"/>
      <c r="N1" s="5"/>
    </row>
    <row r="2" spans="1:256" ht="12.75" customHeight="1">
      <c r="A2" s="6" t="s">
        <v>36</v>
      </c>
      <c r="B2" s="3"/>
      <c r="C2" s="3"/>
      <c r="D2" s="3"/>
      <c r="E2" s="3"/>
      <c r="F2" s="4"/>
      <c r="G2" s="4"/>
      <c r="H2" s="5"/>
      <c r="I2" s="5"/>
      <c r="J2" s="5"/>
      <c r="K2" s="5"/>
      <c r="L2" s="5"/>
      <c r="M2" s="5"/>
      <c r="N2" s="5"/>
    </row>
    <row r="3" spans="1:256" ht="12">
      <c r="A3" s="23">
        <v>0.03</v>
      </c>
      <c r="B3" s="7" t="s">
        <v>9</v>
      </c>
      <c r="C3" s="7"/>
      <c r="D3" s="7" t="s">
        <v>10</v>
      </c>
      <c r="E3" s="7"/>
      <c r="F3" s="7" t="s">
        <v>11</v>
      </c>
      <c r="G3" s="7"/>
      <c r="H3" s="7" t="s">
        <v>15</v>
      </c>
      <c r="I3" s="7"/>
      <c r="J3" s="7" t="s">
        <v>12</v>
      </c>
      <c r="K3" s="7"/>
      <c r="L3" s="7" t="s">
        <v>13</v>
      </c>
      <c r="M3" s="7"/>
      <c r="N3" s="7" t="s">
        <v>18</v>
      </c>
    </row>
    <row r="4" spans="1:256" ht="12">
      <c r="A4" s="8" t="s">
        <v>19</v>
      </c>
      <c r="B4" s="9">
        <v>2535</v>
      </c>
      <c r="C4" s="10"/>
      <c r="D4" s="9">
        <v>2535</v>
      </c>
      <c r="E4" s="10"/>
      <c r="F4" s="9">
        <v>2535</v>
      </c>
      <c r="G4" s="10"/>
      <c r="H4" s="9">
        <v>2535</v>
      </c>
      <c r="I4" s="10"/>
      <c r="J4" s="9">
        <v>2535</v>
      </c>
      <c r="K4" s="10"/>
      <c r="L4" s="9">
        <v>2535</v>
      </c>
      <c r="M4" s="10"/>
      <c r="N4" s="9">
        <f t="shared" ref="N4:N17" si="0">+B4+D4+F4+H4+J4+L4</f>
        <v>15210</v>
      </c>
      <c r="O4" s="10"/>
      <c r="P4" s="12"/>
      <c r="Q4" s="8"/>
      <c r="R4" s="13"/>
      <c r="S4" s="13"/>
      <c r="T4" s="12"/>
      <c r="U4" s="12"/>
      <c r="V4" s="12"/>
      <c r="W4" s="12"/>
      <c r="X4" s="12"/>
      <c r="Y4" s="8"/>
      <c r="Z4" s="13"/>
      <c r="AA4" s="13"/>
      <c r="AB4" s="12"/>
      <c r="AC4" s="12"/>
      <c r="AD4" s="12"/>
      <c r="AE4" s="12"/>
      <c r="AF4" s="12"/>
      <c r="AG4" s="8"/>
      <c r="AH4" s="13"/>
      <c r="AI4" s="13"/>
      <c r="AJ4" s="12"/>
      <c r="AK4" s="12"/>
      <c r="AL4" s="12"/>
      <c r="AM4" s="12"/>
      <c r="AN4" s="12"/>
      <c r="AO4" s="8"/>
      <c r="AP4" s="13"/>
      <c r="AQ4" s="13"/>
      <c r="AR4" s="12"/>
      <c r="AS4" s="12"/>
      <c r="AT4" s="12"/>
      <c r="AU4" s="12"/>
      <c r="AV4" s="12"/>
      <c r="AW4" s="8"/>
      <c r="AX4" s="13"/>
      <c r="AY4" s="13"/>
      <c r="AZ4" s="12"/>
      <c r="BA4" s="12"/>
      <c r="BB4" s="12"/>
      <c r="BC4" s="12"/>
      <c r="BD4" s="12"/>
      <c r="BE4" s="8"/>
      <c r="BF4" s="13"/>
      <c r="BG4" s="13"/>
      <c r="BH4" s="12"/>
      <c r="BI4" s="12"/>
      <c r="BJ4" s="12"/>
      <c r="BK4" s="12"/>
      <c r="BL4" s="12"/>
      <c r="BM4" s="8"/>
      <c r="BN4" s="13"/>
      <c r="BO4" s="13"/>
      <c r="BP4" s="12"/>
      <c r="BQ4" s="12"/>
      <c r="BR4" s="12"/>
      <c r="BS4" s="12"/>
      <c r="BT4" s="12"/>
      <c r="BU4" s="8"/>
      <c r="BV4" s="13"/>
      <c r="BW4" s="13"/>
      <c r="BX4" s="12"/>
      <c r="BY4" s="12"/>
      <c r="BZ4" s="12"/>
      <c r="CA4" s="12"/>
      <c r="CB4" s="12"/>
      <c r="CC4" s="8"/>
      <c r="CD4" s="13"/>
      <c r="CE4" s="13"/>
      <c r="CF4" s="12"/>
      <c r="CG4" s="12"/>
      <c r="CH4" s="12"/>
      <c r="CI4" s="12"/>
      <c r="CJ4" s="12"/>
      <c r="CK4" s="8"/>
      <c r="CL4" s="13"/>
      <c r="CM4" s="13"/>
      <c r="CN4" s="12"/>
      <c r="CO4" s="12"/>
      <c r="CP4" s="12"/>
      <c r="CQ4" s="12"/>
      <c r="CR4" s="12"/>
      <c r="CS4" s="8"/>
      <c r="CT4" s="13"/>
      <c r="CU4" s="13"/>
      <c r="CV4" s="12"/>
      <c r="CW4" s="12"/>
      <c r="CX4" s="12"/>
      <c r="CY4" s="12"/>
      <c r="CZ4" s="12"/>
      <c r="DA4" s="8"/>
      <c r="DB4" s="13"/>
      <c r="DC4" s="13"/>
      <c r="DD4" s="12"/>
      <c r="DE4" s="12"/>
      <c r="DF4" s="12"/>
      <c r="DG4" s="12"/>
      <c r="DH4" s="12"/>
      <c r="DI4" s="8"/>
      <c r="DJ4" s="13"/>
      <c r="DK4" s="13"/>
      <c r="DL4" s="12"/>
      <c r="DM4" s="12"/>
      <c r="DN4" s="12"/>
      <c r="DO4" s="12"/>
      <c r="DP4" s="12"/>
      <c r="DQ4" s="8"/>
      <c r="DR4" s="13"/>
      <c r="DS4" s="13"/>
      <c r="DT4" s="12"/>
      <c r="DU4" s="12"/>
      <c r="DV4" s="12"/>
      <c r="DW4" s="12"/>
      <c r="DX4" s="12"/>
      <c r="DY4" s="8"/>
      <c r="DZ4" s="13"/>
      <c r="EA4" s="13"/>
      <c r="EB4" s="12"/>
      <c r="EC4" s="12"/>
      <c r="ED4" s="12"/>
      <c r="EE4" s="12"/>
      <c r="EF4" s="12"/>
      <c r="EG4" s="8"/>
      <c r="EH4" s="13"/>
      <c r="EI4" s="13"/>
      <c r="EJ4" s="12"/>
      <c r="EK4" s="12"/>
      <c r="EL4" s="12"/>
      <c r="EM4" s="12"/>
      <c r="EN4" s="12"/>
      <c r="EO4" s="8"/>
      <c r="EP4" s="13"/>
      <c r="EQ4" s="13"/>
      <c r="ER4" s="12"/>
      <c r="ES4" s="12"/>
      <c r="ET4" s="12"/>
      <c r="EU4" s="12"/>
      <c r="EV4" s="12"/>
      <c r="EW4" s="8"/>
      <c r="EX4" s="13"/>
      <c r="EY4" s="13"/>
      <c r="EZ4" s="12"/>
      <c r="FA4" s="12"/>
      <c r="FB4" s="12"/>
      <c r="FC4" s="12"/>
      <c r="FD4" s="12"/>
      <c r="FE4" s="8"/>
      <c r="FF4" s="13"/>
      <c r="FG4" s="13"/>
      <c r="FH4" s="12"/>
      <c r="FI4" s="12"/>
      <c r="FJ4" s="12"/>
      <c r="FK4" s="12"/>
      <c r="FL4" s="12"/>
      <c r="FM4" s="8"/>
      <c r="FN4" s="13"/>
      <c r="FO4" s="13"/>
      <c r="FP4" s="12"/>
      <c r="FQ4" s="12"/>
      <c r="FR4" s="12"/>
      <c r="FS4" s="12"/>
      <c r="FT4" s="12"/>
      <c r="FU4" s="8"/>
      <c r="FV4" s="13"/>
      <c r="FW4" s="13"/>
      <c r="FX4" s="12"/>
      <c r="FY4" s="12"/>
      <c r="FZ4" s="12"/>
      <c r="GA4" s="12"/>
      <c r="GB4" s="12"/>
      <c r="GC4" s="8"/>
      <c r="GD4" s="13"/>
      <c r="GE4" s="13"/>
      <c r="GF4" s="12"/>
      <c r="GG4" s="12"/>
      <c r="GH4" s="12"/>
      <c r="GI4" s="12"/>
      <c r="GJ4" s="12"/>
      <c r="GK4" s="8"/>
      <c r="GL4" s="13"/>
      <c r="GM4" s="13"/>
      <c r="GN4" s="12"/>
      <c r="GO4" s="12"/>
      <c r="GP4" s="12"/>
      <c r="GQ4" s="12"/>
      <c r="GR4" s="12"/>
      <c r="GS4" s="8"/>
      <c r="GT4" s="13"/>
      <c r="GU4" s="13"/>
      <c r="GV4" s="12"/>
      <c r="GW4" s="12"/>
      <c r="GX4" s="12"/>
      <c r="GY4" s="12"/>
      <c r="GZ4" s="12"/>
      <c r="HA4" s="8"/>
      <c r="HB4" s="13"/>
      <c r="HC4" s="13"/>
      <c r="HD4" s="12"/>
      <c r="HE4" s="12"/>
      <c r="HF4" s="12"/>
      <c r="HG4" s="12"/>
      <c r="HH4" s="12"/>
      <c r="HI4" s="8"/>
      <c r="HJ4" s="13"/>
      <c r="HK4" s="13"/>
      <c r="HL4" s="12"/>
      <c r="HM4" s="12"/>
      <c r="HN4" s="12"/>
      <c r="HO4" s="12"/>
      <c r="HP4" s="12"/>
      <c r="HQ4" s="8"/>
      <c r="HR4" s="13"/>
      <c r="HS4" s="13"/>
      <c r="HT4" s="12"/>
      <c r="HU4" s="12"/>
      <c r="HV4" s="12"/>
      <c r="HW4" s="12"/>
      <c r="HX4" s="12"/>
      <c r="HY4" s="8"/>
      <c r="HZ4" s="13"/>
      <c r="IA4" s="13"/>
      <c r="IB4" s="12"/>
      <c r="IC4" s="12"/>
      <c r="ID4" s="12"/>
      <c r="IE4" s="12"/>
      <c r="IF4" s="12"/>
      <c r="IG4" s="8"/>
      <c r="IH4" s="13"/>
      <c r="II4" s="13"/>
      <c r="IJ4" s="12"/>
      <c r="IK4" s="12"/>
      <c r="IL4" s="12"/>
      <c r="IM4" s="12"/>
      <c r="IN4" s="12"/>
      <c r="IO4" s="8"/>
      <c r="IP4" s="13"/>
      <c r="IQ4" s="13"/>
      <c r="IR4" s="12"/>
      <c r="IS4" s="12"/>
      <c r="IT4" s="12"/>
      <c r="IU4" s="12"/>
      <c r="IV4" s="12"/>
    </row>
    <row r="5" spans="1:256" ht="12">
      <c r="A5" s="8" t="s">
        <v>20</v>
      </c>
      <c r="B5" s="16">
        <v>2535</v>
      </c>
      <c r="C5" s="10">
        <f t="shared" ref="C5:C17" si="1">(+B5-B4)/B4</f>
        <v>0</v>
      </c>
      <c r="D5" s="16">
        <v>2535</v>
      </c>
      <c r="E5" s="10">
        <f t="shared" ref="E5:E17" si="2">(+D5-D4)/D4</f>
        <v>0</v>
      </c>
      <c r="F5" s="16">
        <v>2535</v>
      </c>
      <c r="G5" s="10">
        <f t="shared" ref="G5:G17" si="3">(+F5-F4)/F4</f>
        <v>0</v>
      </c>
      <c r="H5" s="16">
        <v>2535</v>
      </c>
      <c r="I5" s="10">
        <f t="shared" ref="I5:I17" si="4">(+H5-H4)/H4</f>
        <v>0</v>
      </c>
      <c r="J5" s="16">
        <v>2535</v>
      </c>
      <c r="K5" s="10">
        <f t="shared" ref="K5:K17" si="5">(+J5-J4)/J4</f>
        <v>0</v>
      </c>
      <c r="L5" s="16">
        <v>2535</v>
      </c>
      <c r="M5" s="10">
        <f t="shared" ref="M5:M17" si="6">(+L5-L4)/L4</f>
        <v>0</v>
      </c>
      <c r="N5" s="16">
        <f t="shared" si="0"/>
        <v>15210</v>
      </c>
      <c r="O5" s="10">
        <f t="shared" ref="O5:O17" si="7">(+N5-N4)/N4</f>
        <v>0</v>
      </c>
      <c r="P5" s="12"/>
      <c r="Q5" s="15"/>
      <c r="R5" s="13"/>
      <c r="S5" s="13"/>
      <c r="T5" s="12"/>
      <c r="U5" s="12"/>
      <c r="V5" s="12"/>
      <c r="W5" s="12"/>
      <c r="X5" s="12"/>
      <c r="Y5" s="15"/>
      <c r="Z5" s="13"/>
      <c r="AA5" s="13"/>
      <c r="AB5" s="12"/>
      <c r="AC5" s="12"/>
      <c r="AD5" s="12"/>
      <c r="AE5" s="12"/>
      <c r="AF5" s="12"/>
      <c r="AG5" s="15"/>
      <c r="AH5" s="13"/>
      <c r="AI5" s="13"/>
      <c r="AJ5" s="12"/>
      <c r="AK5" s="12"/>
      <c r="AL5" s="12"/>
      <c r="AM5" s="12"/>
      <c r="AN5" s="12"/>
      <c r="AO5" s="15"/>
      <c r="AP5" s="13"/>
      <c r="AQ5" s="13"/>
      <c r="AR5" s="12"/>
      <c r="AS5" s="12"/>
      <c r="AT5" s="12"/>
      <c r="AU5" s="12"/>
      <c r="AV5" s="12"/>
      <c r="AW5" s="15"/>
      <c r="AX5" s="13"/>
      <c r="AY5" s="13"/>
      <c r="AZ5" s="12"/>
      <c r="BA5" s="12"/>
      <c r="BB5" s="12"/>
      <c r="BC5" s="12"/>
      <c r="BD5" s="12"/>
      <c r="BE5" s="15"/>
      <c r="BF5" s="13"/>
      <c r="BG5" s="13"/>
      <c r="BH5" s="12"/>
      <c r="BI5" s="12"/>
      <c r="BJ5" s="12"/>
      <c r="BK5" s="12"/>
      <c r="BL5" s="12"/>
      <c r="BM5" s="15"/>
      <c r="BN5" s="13"/>
      <c r="BO5" s="13"/>
      <c r="BP5" s="12"/>
      <c r="BQ5" s="12"/>
      <c r="BR5" s="12"/>
      <c r="BS5" s="12"/>
      <c r="BT5" s="12"/>
      <c r="BU5" s="15"/>
      <c r="BV5" s="13"/>
      <c r="BW5" s="13"/>
      <c r="BX5" s="12"/>
      <c r="BY5" s="12"/>
      <c r="BZ5" s="12"/>
      <c r="CA5" s="12"/>
      <c r="CB5" s="12"/>
      <c r="CC5" s="15"/>
      <c r="CD5" s="13"/>
      <c r="CE5" s="13"/>
      <c r="CF5" s="12"/>
      <c r="CG5" s="12"/>
      <c r="CH5" s="12"/>
      <c r="CI5" s="12"/>
      <c r="CJ5" s="12"/>
      <c r="CK5" s="15"/>
      <c r="CL5" s="13"/>
      <c r="CM5" s="13"/>
      <c r="CN5" s="12"/>
      <c r="CO5" s="12"/>
      <c r="CP5" s="12"/>
      <c r="CQ5" s="12"/>
      <c r="CR5" s="12"/>
      <c r="CS5" s="15"/>
      <c r="CT5" s="13"/>
      <c r="CU5" s="13"/>
      <c r="CV5" s="12"/>
      <c r="CW5" s="12"/>
      <c r="CX5" s="12"/>
      <c r="CY5" s="12"/>
      <c r="CZ5" s="12"/>
      <c r="DA5" s="15"/>
      <c r="DB5" s="13"/>
      <c r="DC5" s="13"/>
      <c r="DD5" s="12"/>
      <c r="DE5" s="12"/>
      <c r="DF5" s="12"/>
      <c r="DG5" s="12"/>
      <c r="DH5" s="12"/>
      <c r="DI5" s="15"/>
      <c r="DJ5" s="13"/>
      <c r="DK5" s="13"/>
      <c r="DL5" s="12"/>
      <c r="DM5" s="12"/>
      <c r="DN5" s="12"/>
      <c r="DO5" s="12"/>
      <c r="DP5" s="12"/>
      <c r="DQ5" s="15"/>
      <c r="DR5" s="13"/>
      <c r="DS5" s="13"/>
      <c r="DT5" s="12"/>
      <c r="DU5" s="12"/>
      <c r="DV5" s="12"/>
      <c r="DW5" s="12"/>
      <c r="DX5" s="12"/>
      <c r="DY5" s="15"/>
      <c r="DZ5" s="13"/>
      <c r="EA5" s="13"/>
      <c r="EB5" s="12"/>
      <c r="EC5" s="12"/>
      <c r="ED5" s="12"/>
      <c r="EE5" s="12"/>
      <c r="EF5" s="12"/>
      <c r="EG5" s="15"/>
      <c r="EH5" s="13"/>
      <c r="EI5" s="13"/>
      <c r="EJ5" s="12"/>
      <c r="EK5" s="12"/>
      <c r="EL5" s="12"/>
      <c r="EM5" s="12"/>
      <c r="EN5" s="12"/>
      <c r="EO5" s="15"/>
      <c r="EP5" s="13"/>
      <c r="EQ5" s="13"/>
      <c r="ER5" s="12"/>
      <c r="ES5" s="12"/>
      <c r="ET5" s="12"/>
      <c r="EU5" s="12"/>
      <c r="EV5" s="12"/>
      <c r="EW5" s="15"/>
      <c r="EX5" s="13"/>
      <c r="EY5" s="13"/>
      <c r="EZ5" s="12"/>
      <c r="FA5" s="12"/>
      <c r="FB5" s="12"/>
      <c r="FC5" s="12"/>
      <c r="FD5" s="12"/>
      <c r="FE5" s="15"/>
      <c r="FF5" s="13"/>
      <c r="FG5" s="13"/>
      <c r="FH5" s="12"/>
      <c r="FI5" s="12"/>
      <c r="FJ5" s="12"/>
      <c r="FK5" s="12"/>
      <c r="FL5" s="12"/>
      <c r="FM5" s="15"/>
      <c r="FN5" s="13"/>
      <c r="FO5" s="13"/>
      <c r="FP5" s="12"/>
      <c r="FQ5" s="12"/>
      <c r="FR5" s="12"/>
      <c r="FS5" s="12"/>
      <c r="FT5" s="12"/>
      <c r="FU5" s="15"/>
      <c r="FV5" s="13"/>
      <c r="FW5" s="13"/>
      <c r="FX5" s="12"/>
      <c r="FY5" s="12"/>
      <c r="FZ5" s="12"/>
      <c r="GA5" s="12"/>
      <c r="GB5" s="12"/>
      <c r="GC5" s="15"/>
      <c r="GD5" s="13"/>
      <c r="GE5" s="13"/>
      <c r="GF5" s="12"/>
      <c r="GG5" s="12"/>
      <c r="GH5" s="12"/>
      <c r="GI5" s="12"/>
      <c r="GJ5" s="12"/>
      <c r="GK5" s="15"/>
      <c r="GL5" s="13"/>
      <c r="GM5" s="13"/>
      <c r="GN5" s="12"/>
      <c r="GO5" s="12"/>
      <c r="GP5" s="12"/>
      <c r="GQ5" s="12"/>
      <c r="GR5" s="12"/>
      <c r="GS5" s="15"/>
      <c r="GT5" s="13"/>
      <c r="GU5" s="13"/>
      <c r="GV5" s="12"/>
      <c r="GW5" s="12"/>
      <c r="GX5" s="12"/>
      <c r="GY5" s="12"/>
      <c r="GZ5" s="12"/>
      <c r="HA5" s="15"/>
      <c r="HB5" s="13"/>
      <c r="HC5" s="13"/>
      <c r="HD5" s="12"/>
      <c r="HE5" s="12"/>
      <c r="HF5" s="12"/>
      <c r="HG5" s="12"/>
      <c r="HH5" s="12"/>
      <c r="HI5" s="15"/>
      <c r="HJ5" s="13"/>
      <c r="HK5" s="13"/>
      <c r="HL5" s="12"/>
      <c r="HM5" s="12"/>
      <c r="HN5" s="12"/>
      <c r="HO5" s="12"/>
      <c r="HP5" s="12"/>
      <c r="HQ5" s="15"/>
      <c r="HR5" s="13"/>
      <c r="HS5" s="13"/>
      <c r="HT5" s="12"/>
      <c r="HU5" s="12"/>
      <c r="HV5" s="12"/>
      <c r="HW5" s="12"/>
      <c r="HX5" s="12"/>
      <c r="HY5" s="15"/>
      <c r="HZ5" s="13"/>
      <c r="IA5" s="13"/>
      <c r="IB5" s="12"/>
      <c r="IC5" s="12"/>
      <c r="ID5" s="12"/>
      <c r="IE5" s="12"/>
      <c r="IF5" s="12"/>
      <c r="IG5" s="15"/>
      <c r="IH5" s="13"/>
      <c r="II5" s="13"/>
      <c r="IJ5" s="12"/>
      <c r="IK5" s="12"/>
      <c r="IL5" s="12"/>
      <c r="IM5" s="12"/>
      <c r="IN5" s="12"/>
      <c r="IO5" s="15"/>
      <c r="IP5" s="13"/>
      <c r="IQ5" s="13"/>
      <c r="IR5" s="12"/>
      <c r="IS5" s="12"/>
      <c r="IT5" s="12"/>
      <c r="IU5" s="12"/>
      <c r="IV5" s="12"/>
    </row>
    <row r="6" spans="1:256" ht="12">
      <c r="A6" s="8" t="s">
        <v>21</v>
      </c>
      <c r="B6" s="16">
        <v>2660</v>
      </c>
      <c r="C6" s="10">
        <f t="shared" si="1"/>
        <v>4.9309664694280081E-2</v>
      </c>
      <c r="D6" s="16">
        <v>2660</v>
      </c>
      <c r="E6" s="10">
        <f t="shared" si="2"/>
        <v>4.9309664694280081E-2</v>
      </c>
      <c r="F6" s="16">
        <v>2660</v>
      </c>
      <c r="G6" s="10">
        <f t="shared" si="3"/>
        <v>4.9309664694280081E-2</v>
      </c>
      <c r="H6" s="16">
        <v>2660</v>
      </c>
      <c r="I6" s="10">
        <f t="shared" si="4"/>
        <v>4.9309664694280081E-2</v>
      </c>
      <c r="J6" s="16">
        <v>2660</v>
      </c>
      <c r="K6" s="10">
        <f t="shared" si="5"/>
        <v>4.9309664694280081E-2</v>
      </c>
      <c r="L6" s="16">
        <v>2660</v>
      </c>
      <c r="M6" s="10">
        <f t="shared" si="6"/>
        <v>4.9309664694280081E-2</v>
      </c>
      <c r="N6" s="16">
        <f t="shared" si="0"/>
        <v>15960</v>
      </c>
      <c r="O6" s="10">
        <f t="shared" si="7"/>
        <v>4.9309664694280081E-2</v>
      </c>
      <c r="P6" s="12"/>
      <c r="Q6" s="8"/>
      <c r="R6" s="13"/>
      <c r="S6" s="13"/>
      <c r="T6" s="12"/>
      <c r="U6" s="12"/>
      <c r="V6" s="12"/>
      <c r="W6" s="12"/>
      <c r="X6" s="12"/>
      <c r="Y6" s="8"/>
      <c r="Z6" s="13"/>
      <c r="AA6" s="13"/>
      <c r="AB6" s="12"/>
      <c r="AC6" s="12"/>
      <c r="AD6" s="12"/>
      <c r="AE6" s="12"/>
      <c r="AF6" s="12"/>
      <c r="AG6" s="8"/>
      <c r="AH6" s="13"/>
      <c r="AI6" s="13"/>
      <c r="AJ6" s="12"/>
      <c r="AK6" s="12"/>
      <c r="AL6" s="12"/>
      <c r="AM6" s="12"/>
      <c r="AN6" s="12"/>
      <c r="AO6" s="8"/>
      <c r="AP6" s="13"/>
      <c r="AQ6" s="13"/>
      <c r="AR6" s="12"/>
      <c r="AS6" s="12"/>
      <c r="AT6" s="12"/>
      <c r="AU6" s="12"/>
      <c r="AV6" s="12"/>
      <c r="AW6" s="8"/>
      <c r="AX6" s="13"/>
      <c r="AY6" s="13"/>
      <c r="AZ6" s="12"/>
      <c r="BA6" s="12"/>
      <c r="BB6" s="12"/>
      <c r="BC6" s="12"/>
      <c r="BD6" s="12"/>
      <c r="BE6" s="8"/>
      <c r="BF6" s="13"/>
      <c r="BG6" s="13"/>
      <c r="BH6" s="12"/>
      <c r="BI6" s="12"/>
      <c r="BJ6" s="12"/>
      <c r="BK6" s="12"/>
      <c r="BL6" s="12"/>
      <c r="BM6" s="8"/>
      <c r="BN6" s="13"/>
      <c r="BO6" s="13"/>
      <c r="BP6" s="12"/>
      <c r="BQ6" s="12"/>
      <c r="BR6" s="12"/>
      <c r="BS6" s="12"/>
      <c r="BT6" s="12"/>
      <c r="BU6" s="8"/>
      <c r="BV6" s="13"/>
      <c r="BW6" s="13"/>
      <c r="BX6" s="12"/>
      <c r="BY6" s="12"/>
      <c r="BZ6" s="12"/>
      <c r="CA6" s="12"/>
      <c r="CB6" s="12"/>
      <c r="CC6" s="8"/>
      <c r="CD6" s="13"/>
      <c r="CE6" s="13"/>
      <c r="CF6" s="12"/>
      <c r="CG6" s="12"/>
      <c r="CH6" s="12"/>
      <c r="CI6" s="12"/>
      <c r="CJ6" s="12"/>
      <c r="CK6" s="8"/>
      <c r="CL6" s="13"/>
      <c r="CM6" s="13"/>
      <c r="CN6" s="12"/>
      <c r="CO6" s="12"/>
      <c r="CP6" s="12"/>
      <c r="CQ6" s="12"/>
      <c r="CR6" s="12"/>
      <c r="CS6" s="8"/>
      <c r="CT6" s="13"/>
      <c r="CU6" s="13"/>
      <c r="CV6" s="12"/>
      <c r="CW6" s="12"/>
      <c r="CX6" s="12"/>
      <c r="CY6" s="12"/>
      <c r="CZ6" s="12"/>
      <c r="DA6" s="8"/>
      <c r="DB6" s="13"/>
      <c r="DC6" s="13"/>
      <c r="DD6" s="12"/>
      <c r="DE6" s="12"/>
      <c r="DF6" s="12"/>
      <c r="DG6" s="12"/>
      <c r="DH6" s="12"/>
      <c r="DI6" s="8"/>
      <c r="DJ6" s="13"/>
      <c r="DK6" s="13"/>
      <c r="DL6" s="12"/>
      <c r="DM6" s="12"/>
      <c r="DN6" s="12"/>
      <c r="DO6" s="12"/>
      <c r="DP6" s="12"/>
      <c r="DQ6" s="8"/>
      <c r="DR6" s="13"/>
      <c r="DS6" s="13"/>
      <c r="DT6" s="12"/>
      <c r="DU6" s="12"/>
      <c r="DV6" s="12"/>
      <c r="DW6" s="12"/>
      <c r="DX6" s="12"/>
      <c r="DY6" s="8"/>
      <c r="DZ6" s="13"/>
      <c r="EA6" s="13"/>
      <c r="EB6" s="12"/>
      <c r="EC6" s="12"/>
      <c r="ED6" s="12"/>
      <c r="EE6" s="12"/>
      <c r="EF6" s="12"/>
      <c r="EG6" s="8"/>
      <c r="EH6" s="13"/>
      <c r="EI6" s="13"/>
      <c r="EJ6" s="12"/>
      <c r="EK6" s="12"/>
      <c r="EL6" s="12"/>
      <c r="EM6" s="12"/>
      <c r="EN6" s="12"/>
      <c r="EO6" s="8"/>
      <c r="EP6" s="13"/>
      <c r="EQ6" s="13"/>
      <c r="ER6" s="12"/>
      <c r="ES6" s="12"/>
      <c r="ET6" s="12"/>
      <c r="EU6" s="12"/>
      <c r="EV6" s="12"/>
      <c r="EW6" s="8"/>
      <c r="EX6" s="13"/>
      <c r="EY6" s="13"/>
      <c r="EZ6" s="12"/>
      <c r="FA6" s="12"/>
      <c r="FB6" s="12"/>
      <c r="FC6" s="12"/>
      <c r="FD6" s="12"/>
      <c r="FE6" s="8"/>
      <c r="FF6" s="13"/>
      <c r="FG6" s="13"/>
      <c r="FH6" s="12"/>
      <c r="FI6" s="12"/>
      <c r="FJ6" s="12"/>
      <c r="FK6" s="12"/>
      <c r="FL6" s="12"/>
      <c r="FM6" s="8"/>
      <c r="FN6" s="13"/>
      <c r="FO6" s="13"/>
      <c r="FP6" s="12"/>
      <c r="FQ6" s="12"/>
      <c r="FR6" s="12"/>
      <c r="FS6" s="12"/>
      <c r="FT6" s="12"/>
      <c r="FU6" s="8"/>
      <c r="FV6" s="13"/>
      <c r="FW6" s="13"/>
      <c r="FX6" s="12"/>
      <c r="FY6" s="12"/>
      <c r="FZ6" s="12"/>
      <c r="GA6" s="12"/>
      <c r="GB6" s="12"/>
      <c r="GC6" s="8"/>
      <c r="GD6" s="13"/>
      <c r="GE6" s="13"/>
      <c r="GF6" s="12"/>
      <c r="GG6" s="12"/>
      <c r="GH6" s="12"/>
      <c r="GI6" s="12"/>
      <c r="GJ6" s="12"/>
      <c r="GK6" s="8"/>
      <c r="GL6" s="13"/>
      <c r="GM6" s="13"/>
      <c r="GN6" s="12"/>
      <c r="GO6" s="12"/>
      <c r="GP6" s="12"/>
      <c r="GQ6" s="12"/>
      <c r="GR6" s="12"/>
      <c r="GS6" s="8"/>
      <c r="GT6" s="13"/>
      <c r="GU6" s="13"/>
      <c r="GV6" s="12"/>
      <c r="GW6" s="12"/>
      <c r="GX6" s="12"/>
      <c r="GY6" s="12"/>
      <c r="GZ6" s="12"/>
      <c r="HA6" s="8"/>
      <c r="HB6" s="13"/>
      <c r="HC6" s="13"/>
      <c r="HD6" s="12"/>
      <c r="HE6" s="12"/>
      <c r="HF6" s="12"/>
      <c r="HG6" s="12"/>
      <c r="HH6" s="12"/>
      <c r="HI6" s="8"/>
      <c r="HJ6" s="13"/>
      <c r="HK6" s="13"/>
      <c r="HL6" s="12"/>
      <c r="HM6" s="12"/>
      <c r="HN6" s="12"/>
      <c r="HO6" s="12"/>
      <c r="HP6" s="12"/>
      <c r="HQ6" s="8"/>
      <c r="HR6" s="13"/>
      <c r="HS6" s="13"/>
      <c r="HT6" s="12"/>
      <c r="HU6" s="12"/>
      <c r="HV6" s="12"/>
      <c r="HW6" s="12"/>
      <c r="HX6" s="12"/>
      <c r="HY6" s="8"/>
      <c r="HZ6" s="13"/>
      <c r="IA6" s="13"/>
      <c r="IB6" s="12"/>
      <c r="IC6" s="12"/>
      <c r="ID6" s="12"/>
      <c r="IE6" s="12"/>
      <c r="IF6" s="12"/>
      <c r="IG6" s="8"/>
      <c r="IH6" s="13"/>
      <c r="II6" s="13"/>
      <c r="IJ6" s="12"/>
      <c r="IK6" s="12"/>
      <c r="IL6" s="12"/>
      <c r="IM6" s="12"/>
      <c r="IN6" s="12"/>
      <c r="IO6" s="8"/>
      <c r="IP6" s="13"/>
      <c r="IQ6" s="13"/>
      <c r="IR6" s="12"/>
      <c r="IS6" s="12"/>
      <c r="IT6" s="12"/>
      <c r="IU6" s="12"/>
      <c r="IV6" s="12"/>
    </row>
    <row r="7" spans="1:256" ht="12">
      <c r="A7" s="8" t="s">
        <v>22</v>
      </c>
      <c r="B7" s="16">
        <v>2660.1941747572814</v>
      </c>
      <c r="C7" s="10">
        <f t="shared" si="1"/>
        <v>7.2998029053164112E-5</v>
      </c>
      <c r="D7" s="16">
        <v>2660.1941747572814</v>
      </c>
      <c r="E7" s="10">
        <f t="shared" si="2"/>
        <v>7.2998029053164112E-5</v>
      </c>
      <c r="F7" s="16">
        <v>2660.1941747572814</v>
      </c>
      <c r="G7" s="10">
        <f t="shared" si="3"/>
        <v>7.2998029053164112E-5</v>
      </c>
      <c r="H7" s="16">
        <v>2660.1941747572814</v>
      </c>
      <c r="I7" s="10">
        <f t="shared" si="4"/>
        <v>7.2998029053164112E-5</v>
      </c>
      <c r="J7" s="16">
        <v>2660.1941747572814</v>
      </c>
      <c r="K7" s="10">
        <f t="shared" si="5"/>
        <v>7.2998029053164112E-5</v>
      </c>
      <c r="L7" s="16">
        <v>2660.1941747572814</v>
      </c>
      <c r="M7" s="10">
        <f t="shared" si="6"/>
        <v>7.2998029053164112E-5</v>
      </c>
      <c r="N7" s="16">
        <f t="shared" si="0"/>
        <v>15961.165048543689</v>
      </c>
      <c r="O7" s="10">
        <f t="shared" si="7"/>
        <v>7.29980290532211E-5</v>
      </c>
    </row>
    <row r="8" spans="1:256" ht="12">
      <c r="A8" s="8" t="s">
        <v>23</v>
      </c>
      <c r="B8" s="16">
        <v>2582.7127910264871</v>
      </c>
      <c r="C8" s="10">
        <f t="shared" si="1"/>
        <v>-2.9126213592232886E-2</v>
      </c>
      <c r="D8" s="16">
        <v>2582.7127910264871</v>
      </c>
      <c r="E8" s="10">
        <f t="shared" si="2"/>
        <v>-2.9126213592232886E-2</v>
      </c>
      <c r="F8" s="16">
        <v>2582.7127910264871</v>
      </c>
      <c r="G8" s="10">
        <f t="shared" si="3"/>
        <v>-2.9126213592232886E-2</v>
      </c>
      <c r="H8" s="16">
        <v>2582.7127910264871</v>
      </c>
      <c r="I8" s="10">
        <f t="shared" si="4"/>
        <v>-2.9126213592232886E-2</v>
      </c>
      <c r="J8" s="16">
        <v>2582.7127910264871</v>
      </c>
      <c r="K8" s="10">
        <f t="shared" si="5"/>
        <v>-2.9126213592232886E-2</v>
      </c>
      <c r="L8" s="16">
        <v>2582.7127910264871</v>
      </c>
      <c r="M8" s="10">
        <f t="shared" si="6"/>
        <v>-2.9126213592232886E-2</v>
      </c>
      <c r="N8" s="16">
        <f t="shared" si="0"/>
        <v>15496.276746158921</v>
      </c>
      <c r="O8" s="10">
        <f t="shared" si="7"/>
        <v>-2.9126213592233056E-2</v>
      </c>
    </row>
    <row r="9" spans="1:256" ht="12">
      <c r="A9" s="8" t="s">
        <v>24</v>
      </c>
      <c r="B9" s="16">
        <v>2507.4881466276574</v>
      </c>
      <c r="C9" s="10">
        <f t="shared" si="1"/>
        <v>-2.9126213592233E-2</v>
      </c>
      <c r="D9" s="16">
        <v>2507.4881466276574</v>
      </c>
      <c r="E9" s="10">
        <f t="shared" si="2"/>
        <v>-2.9126213592233E-2</v>
      </c>
      <c r="F9" s="16">
        <v>2507.4881466276574</v>
      </c>
      <c r="G9" s="10">
        <f t="shared" si="3"/>
        <v>-2.9126213592233E-2</v>
      </c>
      <c r="H9" s="16">
        <v>2507.4881466276574</v>
      </c>
      <c r="I9" s="10">
        <f t="shared" si="4"/>
        <v>-2.9126213592233E-2</v>
      </c>
      <c r="J9" s="16">
        <v>2507.4881466276574</v>
      </c>
      <c r="K9" s="10">
        <f t="shared" si="5"/>
        <v>-2.9126213592233E-2</v>
      </c>
      <c r="L9" s="16">
        <v>2507.4881466276574</v>
      </c>
      <c r="M9" s="10">
        <f t="shared" si="6"/>
        <v>-2.9126213592233E-2</v>
      </c>
      <c r="N9" s="16">
        <f t="shared" si="0"/>
        <v>15044.928879765943</v>
      </c>
      <c r="O9" s="10">
        <f t="shared" si="7"/>
        <v>-2.9126213592233004E-2</v>
      </c>
    </row>
    <row r="10" spans="1:256" ht="12">
      <c r="A10" s="8" t="s">
        <v>25</v>
      </c>
      <c r="B10" s="16">
        <v>2969.3237141342324</v>
      </c>
      <c r="C10" s="10">
        <f t="shared" si="1"/>
        <v>0.18418255261852451</v>
      </c>
      <c r="D10" s="16">
        <v>2556.1772368534371</v>
      </c>
      <c r="E10" s="10">
        <f t="shared" si="2"/>
        <v>1.9417475728155293E-2</v>
      </c>
      <c r="F10" s="16">
        <v>2576.612438955498</v>
      </c>
      <c r="G10" s="10">
        <f t="shared" si="3"/>
        <v>2.7567146198001526E-2</v>
      </c>
      <c r="H10" s="16">
        <v>2754.3098485386358</v>
      </c>
      <c r="I10" s="10">
        <f t="shared" si="4"/>
        <v>9.8433845935794767E-2</v>
      </c>
      <c r="J10" s="16">
        <v>2605.0440244888</v>
      </c>
      <c r="K10" s="10">
        <f t="shared" si="5"/>
        <v>3.890581815604844E-2</v>
      </c>
      <c r="L10" s="16">
        <v>2576.612438955498</v>
      </c>
      <c r="M10" s="10">
        <f t="shared" si="6"/>
        <v>2.7567146198001526E-2</v>
      </c>
      <c r="N10" s="16">
        <f t="shared" si="0"/>
        <v>16038.079701926101</v>
      </c>
      <c r="O10" s="10">
        <f t="shared" si="7"/>
        <v>6.6012330805754443E-2</v>
      </c>
    </row>
    <row r="11" spans="1:256" ht="12">
      <c r="A11" s="5" t="s">
        <v>26</v>
      </c>
      <c r="B11" s="16">
        <v>3315.8681671727268</v>
      </c>
      <c r="C11" s="10">
        <f t="shared" si="1"/>
        <v>0.11670820914166866</v>
      </c>
      <c r="D11" s="16">
        <v>2884.5637749806447</v>
      </c>
      <c r="E11" s="10">
        <f t="shared" si="2"/>
        <v>0.1284678282056215</v>
      </c>
      <c r="F11" s="16">
        <v>2799.1655053266127</v>
      </c>
      <c r="G11" s="10">
        <f t="shared" si="3"/>
        <v>8.6374288583863562E-2</v>
      </c>
      <c r="H11" s="16">
        <v>2770.6994154419349</v>
      </c>
      <c r="I11" s="10">
        <f t="shared" si="4"/>
        <v>5.9505167554024206E-3</v>
      </c>
      <c r="J11" s="16">
        <v>3122.6437994706739</v>
      </c>
      <c r="K11" s="10">
        <f t="shared" si="5"/>
        <v>0.19869137339567416</v>
      </c>
      <c r="L11" s="16">
        <v>2932.8698669061578</v>
      </c>
      <c r="M11" s="10">
        <f t="shared" si="6"/>
        <v>0.13826581854703718</v>
      </c>
      <c r="N11" s="16">
        <f t="shared" si="0"/>
        <v>17825.810529298753</v>
      </c>
      <c r="O11" s="10">
        <f t="shared" si="7"/>
        <v>0.11146788522057</v>
      </c>
      <c r="P11" s="18"/>
    </row>
    <row r="12" spans="1:256" ht="12">
      <c r="A12" s="5" t="s">
        <v>27</v>
      </c>
      <c r="B12" s="16">
        <v>3296.3380343068638</v>
      </c>
      <c r="C12" s="10">
        <f t="shared" si="1"/>
        <v>-5.8899002859077124E-3</v>
      </c>
      <c r="D12" s="16">
        <v>2728.5237082753461</v>
      </c>
      <c r="E12" s="10">
        <f t="shared" si="2"/>
        <v>-5.4094857620662462E-2</v>
      </c>
      <c r="F12" s="16">
        <v>2744.1846638753304</v>
      </c>
      <c r="G12" s="10">
        <f t="shared" si="3"/>
        <v>-1.9641868745044765E-2</v>
      </c>
      <c r="H12" s="16">
        <v>2728.5237082753461</v>
      </c>
      <c r="I12" s="10">
        <f t="shared" si="4"/>
        <v>-1.5222043550278688E-2</v>
      </c>
      <c r="J12" s="16">
        <v>3318.9501092373225</v>
      </c>
      <c r="K12" s="10">
        <f t="shared" si="5"/>
        <v>6.2865418655795743E-2</v>
      </c>
      <c r="L12" s="16">
        <v>3036.7179147349311</v>
      </c>
      <c r="M12" s="10">
        <f t="shared" si="6"/>
        <v>3.5408338092518636E-2</v>
      </c>
      <c r="N12" s="16">
        <f t="shared" si="0"/>
        <v>17853.238138705143</v>
      </c>
      <c r="O12" s="10">
        <f t="shared" si="7"/>
        <v>1.5386458507067274E-3</v>
      </c>
    </row>
    <row r="13" spans="1:256" ht="12">
      <c r="A13" s="19" t="s">
        <v>28</v>
      </c>
      <c r="B13" s="16">
        <v>3549.9575385250823</v>
      </c>
      <c r="C13" s="10">
        <f t="shared" si="1"/>
        <v>7.693977425211132E-2</v>
      </c>
      <c r="D13" s="16">
        <v>2989.7374872095115</v>
      </c>
      <c r="E13" s="10">
        <f t="shared" si="2"/>
        <v>9.5734472873345244E-2</v>
      </c>
      <c r="F13" s="16">
        <v>3021.4480561519026</v>
      </c>
      <c r="G13" s="10">
        <f t="shared" si="3"/>
        <v>0.10103671080393749</v>
      </c>
      <c r="H13" s="16">
        <v>2763.6980470560593</v>
      </c>
      <c r="I13" s="10">
        <f t="shared" si="4"/>
        <v>1.2891344383057002E-2</v>
      </c>
      <c r="J13" s="16">
        <v>3225.5340254990842</v>
      </c>
      <c r="K13" s="10">
        <f t="shared" si="5"/>
        <v>-2.8146275377337569E-2</v>
      </c>
      <c r="L13" s="16">
        <v>3088.1215600820574</v>
      </c>
      <c r="M13" s="10">
        <f t="shared" si="6"/>
        <v>1.6927369215857239E-2</v>
      </c>
      <c r="N13" s="16">
        <f t="shared" si="0"/>
        <v>18638.496714523699</v>
      </c>
      <c r="O13" s="10">
        <f t="shared" si="7"/>
        <v>4.3984097994869915E-2</v>
      </c>
    </row>
    <row r="14" spans="1:256" ht="12">
      <c r="A14" s="19" t="s">
        <v>29</v>
      </c>
      <c r="B14" s="16">
        <v>3628.9142501411629</v>
      </c>
      <c r="C14" s="10">
        <f t="shared" si="1"/>
        <v>2.2241593247023773E-2</v>
      </c>
      <c r="D14" s="16">
        <v>3171.8463034733941</v>
      </c>
      <c r="E14" s="10">
        <f t="shared" si="2"/>
        <v>6.0911306441775545E-2</v>
      </c>
      <c r="F14" s="16">
        <v>3292.6259163234263</v>
      </c>
      <c r="G14" s="10">
        <f t="shared" si="3"/>
        <v>8.9750958855435062E-2</v>
      </c>
      <c r="H14" s="16">
        <v>2816.6121480321231</v>
      </c>
      <c r="I14" s="10">
        <f t="shared" si="4"/>
        <v>1.9146122360374648E-2</v>
      </c>
      <c r="J14" s="16">
        <v>3448.1395354832716</v>
      </c>
      <c r="K14" s="10">
        <f t="shared" si="5"/>
        <v>6.9013536432852796E-2</v>
      </c>
      <c r="L14" s="16">
        <v>3299.7305994322514</v>
      </c>
      <c r="M14" s="10">
        <f t="shared" si="6"/>
        <v>6.8523545862155505E-2</v>
      </c>
      <c r="N14" s="16">
        <f t="shared" si="0"/>
        <v>19657.868752885628</v>
      </c>
      <c r="O14" s="10">
        <f t="shared" si="7"/>
        <v>5.4691751914069484E-2</v>
      </c>
    </row>
    <row r="15" spans="1:256" ht="12">
      <c r="A15" s="20" t="s">
        <v>30</v>
      </c>
      <c r="B15" s="16">
        <v>3836.6821621121967</v>
      </c>
      <c r="C15" s="10">
        <f t="shared" si="1"/>
        <v>5.7253464162993567E-2</v>
      </c>
      <c r="D15" s="16">
        <v>3293.2926988805648</v>
      </c>
      <c r="E15" s="10">
        <f t="shared" si="2"/>
        <v>3.8288865155344506E-2</v>
      </c>
      <c r="F15" s="16">
        <v>3331.6135354977464</v>
      </c>
      <c r="G15" s="10">
        <f t="shared" si="3"/>
        <v>1.1840889358562184E-2</v>
      </c>
      <c r="H15" s="16">
        <v>2844.9389104595434</v>
      </c>
      <c r="I15" s="10">
        <f t="shared" si="4"/>
        <v>1.0057033392833786E-2</v>
      </c>
      <c r="J15" s="16">
        <v>3540.8453034275567</v>
      </c>
      <c r="K15" s="10">
        <f t="shared" si="5"/>
        <v>2.6885735623599687E-2</v>
      </c>
      <c r="L15" s="16">
        <v>3525.5169687806838</v>
      </c>
      <c r="M15" s="10">
        <f t="shared" si="6"/>
        <v>6.8425697960700471E-2</v>
      </c>
      <c r="N15" s="16">
        <f t="shared" si="0"/>
        <v>20372.889579158291</v>
      </c>
      <c r="O15" s="10">
        <f t="shared" si="7"/>
        <v>3.6373262801833645E-2</v>
      </c>
    </row>
    <row r="16" spans="1:256" ht="12">
      <c r="A16" s="20" t="s">
        <v>35</v>
      </c>
      <c r="B16" s="16">
        <v>3729.3987014623867</v>
      </c>
      <c r="C16" s="10">
        <f t="shared" si="1"/>
        <v>-2.7962561431137036E-2</v>
      </c>
      <c r="D16" s="16">
        <v>3509.1469026529562</v>
      </c>
      <c r="E16" s="10">
        <f t="shared" si="2"/>
        <v>6.5543583127537747E-2</v>
      </c>
      <c r="F16" s="16">
        <v>3370.7454344821649</v>
      </c>
      <c r="G16" s="10">
        <f t="shared" si="3"/>
        <v>1.1745629727900648E-2</v>
      </c>
      <c r="H16" s="16">
        <v>3041.8559240978125</v>
      </c>
      <c r="I16" s="10">
        <f t="shared" si="4"/>
        <v>6.9216605289588104E-2</v>
      </c>
      <c r="J16" s="16">
        <v>3608.8554872491172</v>
      </c>
      <c r="K16" s="10">
        <f t="shared" si="5"/>
        <v>1.9207329886941495E-2</v>
      </c>
      <c r="L16" s="16">
        <v>3765.1152093774294</v>
      </c>
      <c r="M16" s="10">
        <f t="shared" si="6"/>
        <v>6.7961165048543729E-2</v>
      </c>
      <c r="N16" s="16">
        <f t="shared" si="0"/>
        <v>21025.117659321866</v>
      </c>
      <c r="O16" s="10">
        <f t="shared" si="7"/>
        <v>3.2014510147387848E-2</v>
      </c>
    </row>
    <row r="17" spans="1:15" ht="12">
      <c r="A17" s="19" t="s">
        <v>38</v>
      </c>
      <c r="B17" s="9">
        <v>3732.0283149092061</v>
      </c>
      <c r="C17" s="10">
        <f t="shared" si="1"/>
        <v>7.0510386722347869E-4</v>
      </c>
      <c r="D17" s="9">
        <v>3521.0813021423673</v>
      </c>
      <c r="E17" s="10">
        <f t="shared" si="2"/>
        <v>3.4009404053129233E-3</v>
      </c>
      <c r="F17" s="9">
        <v>3585.3767957596574</v>
      </c>
      <c r="G17" s="10">
        <f t="shared" si="3"/>
        <v>6.3674746565507256E-2</v>
      </c>
      <c r="H17" s="9">
        <v>3386.7109446949976</v>
      </c>
      <c r="I17" s="10">
        <f t="shared" si="4"/>
        <v>0.11336993901164666</v>
      </c>
      <c r="J17" s="9">
        <v>3698.7969361856631</v>
      </c>
      <c r="K17" s="10">
        <f t="shared" si="5"/>
        <v>2.4922430187168432E-2</v>
      </c>
      <c r="L17" s="9">
        <v>4023.8865106551061</v>
      </c>
      <c r="M17" s="10">
        <f t="shared" si="6"/>
        <v>6.8728654207759324E-2</v>
      </c>
      <c r="N17" s="16">
        <f t="shared" si="0"/>
        <v>21947.880804346998</v>
      </c>
      <c r="O17" s="10">
        <f t="shared" si="7"/>
        <v>4.3888607901131443E-2</v>
      </c>
    </row>
    <row r="18" spans="1:15" ht="12">
      <c r="A18" s="21"/>
      <c r="B18" s="5"/>
      <c r="C18" s="5"/>
      <c r="D18" s="5"/>
      <c r="E18" s="5"/>
      <c r="F18" s="16"/>
      <c r="G18" s="5"/>
      <c r="H18" s="5"/>
      <c r="I18" s="5"/>
      <c r="J18" s="5"/>
      <c r="K18" s="5"/>
      <c r="L18" s="5"/>
      <c r="M18" s="5"/>
      <c r="N18" s="5"/>
      <c r="O18" s="5"/>
    </row>
    <row r="19" spans="1:15" ht="15">
      <c r="A19" s="22" t="s">
        <v>41</v>
      </c>
      <c r="B19" s="17"/>
      <c r="C19" s="17"/>
      <c r="D19" s="17"/>
      <c r="E19" s="17"/>
      <c r="F19" s="17"/>
      <c r="G19" s="17"/>
      <c r="H19" s="33"/>
      <c r="I19" s="17"/>
      <c r="J19" s="17"/>
      <c r="K19" s="17"/>
      <c r="L19" s="17"/>
      <c r="M19" s="17"/>
      <c r="N19" s="17"/>
      <c r="O19" s="17"/>
    </row>
    <row r="20" spans="1:15" ht="12">
      <c r="B20" s="23"/>
      <c r="C20" s="5"/>
      <c r="D20" s="23"/>
      <c r="E20" s="5"/>
      <c r="F20" s="23"/>
      <c r="G20" s="5"/>
      <c r="H20" s="23"/>
      <c r="I20" s="5"/>
      <c r="J20" s="23"/>
      <c r="K20" s="5"/>
      <c r="L20" s="23"/>
      <c r="M20" s="5"/>
      <c r="N20" s="23"/>
      <c r="O20" s="5"/>
    </row>
    <row r="21" spans="1:15" ht="12">
      <c r="B21" s="9"/>
      <c r="C21" s="10"/>
      <c r="D21" s="9"/>
      <c r="E21" s="10"/>
      <c r="F21" s="9"/>
      <c r="G21" s="10"/>
      <c r="H21" s="9"/>
      <c r="I21" s="10"/>
      <c r="J21" s="9"/>
      <c r="K21" s="10"/>
      <c r="L21" s="9"/>
      <c r="M21" s="10"/>
      <c r="N21" s="9"/>
    </row>
    <row r="22" spans="1:15" ht="12">
      <c r="B22" s="9"/>
      <c r="C22" s="10"/>
      <c r="D22" s="9"/>
      <c r="E22" s="10"/>
      <c r="F22" s="9"/>
      <c r="G22" s="10"/>
      <c r="H22" s="9"/>
      <c r="I22" s="10"/>
      <c r="J22" s="9"/>
      <c r="K22" s="10"/>
      <c r="L22" s="9"/>
      <c r="M22" s="10"/>
      <c r="N22" s="9"/>
    </row>
    <row r="23" spans="1:15" ht="12">
      <c r="B23" s="9"/>
      <c r="C23" s="10"/>
      <c r="D23" s="9"/>
      <c r="E23" s="10"/>
      <c r="F23" s="9"/>
      <c r="G23" s="10"/>
      <c r="H23" s="9"/>
      <c r="I23" s="10"/>
      <c r="J23" s="9"/>
      <c r="K23" s="10"/>
      <c r="L23" s="9"/>
      <c r="M23" s="10"/>
      <c r="N23" s="9"/>
    </row>
    <row r="24" spans="1:15" ht="12">
      <c r="B24" s="9"/>
      <c r="C24" s="10"/>
      <c r="D24" s="9"/>
      <c r="E24" s="10"/>
      <c r="F24" s="9"/>
      <c r="G24" s="10"/>
      <c r="H24" s="9"/>
      <c r="I24" s="10"/>
      <c r="J24" s="9"/>
      <c r="K24" s="10"/>
      <c r="L24" s="9"/>
      <c r="M24" s="10"/>
      <c r="N24" s="9"/>
    </row>
    <row r="25" spans="1:15" ht="12">
      <c r="B25" s="9"/>
      <c r="C25" s="10"/>
      <c r="D25" s="9"/>
      <c r="E25" s="10"/>
      <c r="F25" s="9"/>
      <c r="G25" s="10"/>
      <c r="H25" s="9"/>
      <c r="I25" s="10"/>
      <c r="J25" s="9"/>
      <c r="K25" s="10"/>
      <c r="L25" s="9"/>
      <c r="M25" s="10"/>
      <c r="N25" s="9"/>
    </row>
    <row r="26" spans="1:15" ht="12">
      <c r="B26" s="9"/>
      <c r="C26" s="10"/>
      <c r="D26" s="9"/>
      <c r="E26" s="10"/>
      <c r="F26" s="9"/>
      <c r="G26" s="10"/>
      <c r="H26" s="9"/>
      <c r="I26" s="10"/>
      <c r="J26" s="9"/>
      <c r="K26" s="10"/>
      <c r="L26" s="9"/>
      <c r="M26" s="10"/>
      <c r="N26" s="9"/>
    </row>
    <row r="27" spans="1:15" ht="12">
      <c r="B27" s="9"/>
      <c r="C27" s="10"/>
      <c r="D27" s="9"/>
      <c r="E27" s="10"/>
      <c r="F27" s="9"/>
      <c r="G27" s="10"/>
      <c r="H27" s="9"/>
      <c r="I27" s="10"/>
      <c r="J27" s="9"/>
      <c r="K27" s="10"/>
      <c r="L27" s="9"/>
      <c r="M27" s="10"/>
      <c r="N27" s="9"/>
    </row>
    <row r="28" spans="1:15" ht="12">
      <c r="B28" s="9"/>
      <c r="C28" s="10"/>
      <c r="D28" s="9"/>
      <c r="E28" s="10"/>
      <c r="F28" s="9"/>
      <c r="G28" s="10"/>
      <c r="H28" s="9"/>
      <c r="I28" s="10"/>
      <c r="J28" s="9"/>
      <c r="K28" s="10"/>
      <c r="L28" s="9"/>
      <c r="M28" s="10"/>
      <c r="N28" s="9"/>
    </row>
    <row r="29" spans="1:15" ht="12">
      <c r="B29" s="9"/>
      <c r="C29" s="10"/>
      <c r="D29" s="9"/>
      <c r="E29" s="10"/>
      <c r="F29" s="9"/>
      <c r="G29" s="10"/>
      <c r="H29" s="9"/>
      <c r="I29" s="10"/>
      <c r="J29" s="9"/>
      <c r="K29" s="10"/>
      <c r="L29" s="9"/>
      <c r="M29" s="10"/>
      <c r="N29" s="9"/>
    </row>
    <row r="30" spans="1:15" ht="12">
      <c r="B30" s="9"/>
      <c r="C30" s="10"/>
      <c r="D30" s="9"/>
      <c r="E30" s="10"/>
      <c r="F30" s="9"/>
      <c r="G30" s="10"/>
      <c r="H30" s="9"/>
      <c r="I30" s="10"/>
      <c r="J30" s="9"/>
      <c r="K30" s="10"/>
      <c r="L30" s="9"/>
      <c r="M30" s="10"/>
      <c r="N30" s="9"/>
    </row>
    <row r="31" spans="1:15" ht="12">
      <c r="B31" s="9"/>
      <c r="C31" s="10"/>
      <c r="D31" s="9"/>
      <c r="E31" s="10"/>
      <c r="F31" s="9"/>
      <c r="G31" s="10"/>
      <c r="H31" s="9"/>
      <c r="I31" s="10"/>
      <c r="J31" s="9"/>
      <c r="K31" s="10"/>
      <c r="L31" s="9"/>
      <c r="M31" s="10"/>
      <c r="N31" s="9"/>
    </row>
    <row r="32" spans="1:15" ht="12">
      <c r="B32" s="9"/>
      <c r="C32" s="10"/>
      <c r="D32" s="9"/>
      <c r="E32" s="10"/>
      <c r="F32" s="9"/>
      <c r="G32" s="10"/>
      <c r="H32" s="9"/>
      <c r="I32" s="10"/>
      <c r="J32" s="9"/>
      <c r="K32" s="10"/>
      <c r="L32" s="9"/>
      <c r="M32" s="10"/>
      <c r="N32" s="9"/>
    </row>
    <row r="51" spans="1:15" ht="12">
      <c r="A51" s="8"/>
      <c r="B51" s="9"/>
      <c r="C51" s="10"/>
      <c r="D51" s="11"/>
      <c r="E51" s="10"/>
      <c r="F51" s="11"/>
      <c r="G51" s="10"/>
      <c r="H51" s="11"/>
      <c r="I51" s="10"/>
      <c r="J51" s="9"/>
      <c r="K51" s="10"/>
      <c r="L51" s="11"/>
      <c r="M51" s="10"/>
      <c r="N51" s="11"/>
      <c r="O51" s="10"/>
    </row>
    <row r="52" spans="1:15" ht="12">
      <c r="A52" s="8"/>
      <c r="B52" s="13"/>
      <c r="C52" s="10"/>
      <c r="D52" s="12"/>
      <c r="E52" s="10"/>
      <c r="F52" s="12"/>
      <c r="G52" s="10"/>
      <c r="H52" s="12"/>
      <c r="I52" s="10"/>
      <c r="J52" s="13"/>
      <c r="K52" s="10"/>
      <c r="L52" s="12"/>
      <c r="M52" s="10"/>
      <c r="N52" s="14"/>
      <c r="O52" s="10"/>
    </row>
    <row r="53" spans="1:15" ht="12">
      <c r="A53" s="8"/>
      <c r="B53" s="13"/>
      <c r="C53" s="10"/>
      <c r="D53" s="12"/>
      <c r="E53" s="10"/>
      <c r="F53" s="12"/>
      <c r="G53" s="10"/>
      <c r="H53" s="12"/>
      <c r="I53" s="10"/>
      <c r="J53" s="13"/>
      <c r="K53" s="10"/>
      <c r="L53" s="12"/>
      <c r="M53" s="10"/>
      <c r="N53" s="14"/>
      <c r="O53" s="10"/>
    </row>
    <row r="54" spans="1:15" ht="12">
      <c r="A54" s="8"/>
      <c r="B54" s="16"/>
      <c r="C54" s="10"/>
      <c r="D54" s="16"/>
      <c r="E54" s="10"/>
      <c r="F54" s="14"/>
      <c r="G54" s="10"/>
      <c r="H54" s="14"/>
      <c r="I54" s="10"/>
      <c r="J54" s="14"/>
      <c r="K54" s="10"/>
      <c r="L54" s="14"/>
      <c r="M54" s="10"/>
      <c r="N54" s="14"/>
      <c r="O54" s="10"/>
    </row>
    <row r="55" spans="1:15" ht="12">
      <c r="A55" s="8"/>
      <c r="B55" s="16"/>
      <c r="C55" s="10"/>
      <c r="D55" s="16"/>
      <c r="E55" s="10"/>
      <c r="F55" s="14"/>
      <c r="G55" s="10"/>
      <c r="H55" s="14"/>
      <c r="I55" s="10"/>
      <c r="J55" s="14"/>
      <c r="K55" s="10"/>
      <c r="L55" s="14"/>
      <c r="M55" s="10"/>
      <c r="N55" s="14"/>
      <c r="O55" s="10"/>
    </row>
    <row r="56" spans="1:15" ht="12">
      <c r="A56" s="8"/>
      <c r="B56" s="16"/>
      <c r="C56" s="10"/>
      <c r="D56" s="16"/>
      <c r="E56" s="10"/>
      <c r="F56" s="14"/>
      <c r="G56" s="10"/>
      <c r="H56" s="14"/>
      <c r="I56" s="10"/>
      <c r="J56" s="14"/>
      <c r="K56" s="10"/>
      <c r="L56" s="14"/>
      <c r="M56" s="10"/>
      <c r="N56" s="14"/>
      <c r="O56" s="10"/>
    </row>
    <row r="57" spans="1:15" ht="12">
      <c r="A57" s="8"/>
      <c r="B57" s="16"/>
      <c r="C57" s="10"/>
      <c r="D57" s="16"/>
      <c r="E57" s="10"/>
      <c r="F57" s="14"/>
      <c r="G57" s="10"/>
      <c r="H57" s="14"/>
      <c r="I57" s="10"/>
      <c r="J57" s="14"/>
      <c r="K57" s="10"/>
      <c r="L57" s="14"/>
      <c r="M57" s="10"/>
      <c r="N57" s="14"/>
      <c r="O57" s="10"/>
    </row>
    <row r="58" spans="1:15" ht="12">
      <c r="A58" s="5"/>
      <c r="B58" s="17"/>
      <c r="C58" s="10"/>
      <c r="D58" s="17"/>
      <c r="E58" s="10"/>
      <c r="F58" s="17"/>
      <c r="G58" s="10"/>
      <c r="H58" s="17"/>
      <c r="I58" s="10"/>
      <c r="J58" s="17"/>
      <c r="K58" s="10"/>
      <c r="L58" s="17"/>
      <c r="M58" s="10"/>
      <c r="N58" s="14"/>
      <c r="O58" s="10"/>
    </row>
    <row r="59" spans="1:15" ht="12">
      <c r="A59" s="5"/>
      <c r="B59" s="17"/>
      <c r="C59" s="10"/>
      <c r="D59" s="17"/>
      <c r="E59" s="10"/>
      <c r="F59" s="17"/>
      <c r="G59" s="10"/>
      <c r="H59" s="17"/>
      <c r="I59" s="10"/>
      <c r="J59" s="17"/>
      <c r="K59" s="10"/>
      <c r="L59" s="17"/>
      <c r="M59" s="10"/>
      <c r="N59" s="14"/>
      <c r="O59" s="10"/>
    </row>
    <row r="60" spans="1:15" ht="12">
      <c r="A60" s="19"/>
      <c r="B60" s="17"/>
      <c r="C60" s="10"/>
      <c r="D60" s="17"/>
      <c r="E60" s="10"/>
      <c r="F60" s="17"/>
      <c r="G60" s="10"/>
      <c r="H60" s="17"/>
      <c r="I60" s="10"/>
      <c r="J60" s="17"/>
      <c r="K60" s="10"/>
      <c r="L60" s="17"/>
      <c r="M60" s="10"/>
      <c r="N60" s="14"/>
      <c r="O60" s="10"/>
    </row>
    <row r="61" spans="1:15" ht="12">
      <c r="A61" s="19"/>
      <c r="B61" s="17"/>
      <c r="C61" s="10"/>
      <c r="D61" s="17"/>
      <c r="E61" s="10"/>
      <c r="F61" s="17"/>
      <c r="G61" s="10"/>
      <c r="H61" s="17"/>
      <c r="I61" s="10"/>
      <c r="J61" s="17"/>
      <c r="K61" s="10"/>
      <c r="L61" s="17"/>
      <c r="M61" s="10"/>
      <c r="N61" s="14"/>
      <c r="O61" s="10"/>
    </row>
    <row r="62" spans="1:15" ht="12">
      <c r="A62" s="20"/>
      <c r="B62" s="17"/>
      <c r="C62" s="10"/>
      <c r="D62" s="17"/>
      <c r="E62" s="10"/>
      <c r="F62" s="17"/>
      <c r="G62" s="10"/>
      <c r="H62" s="17"/>
      <c r="I62" s="10"/>
      <c r="J62" s="17"/>
      <c r="K62" s="10"/>
      <c r="L62" s="17"/>
      <c r="M62" s="10"/>
      <c r="N62" s="14"/>
      <c r="O62" s="10"/>
    </row>
    <row r="63" spans="1:15" ht="12">
      <c r="A63" s="21"/>
      <c r="B63" s="5"/>
      <c r="C63" s="5"/>
      <c r="D63" s="5"/>
      <c r="E63" s="5"/>
      <c r="F63" s="5"/>
      <c r="G63" s="5"/>
      <c r="H63" s="5"/>
      <c r="I63" s="5"/>
      <c r="J63" s="5"/>
      <c r="K63" s="5"/>
      <c r="L63" s="5"/>
      <c r="M63" s="5"/>
      <c r="N63" s="5"/>
      <c r="O63" s="5"/>
    </row>
    <row r="64" spans="1:15" ht="12.75">
      <c r="A64" s="22"/>
      <c r="B64" s="17"/>
      <c r="C64" s="17"/>
      <c r="D64" s="17"/>
      <c r="E64" s="17"/>
      <c r="F64" s="17"/>
      <c r="G64" s="17"/>
      <c r="H64" s="17"/>
      <c r="I64" s="17"/>
      <c r="J64" s="17"/>
      <c r="K64" s="17"/>
      <c r="L64" s="17"/>
      <c r="M64" s="17"/>
      <c r="N64" s="17"/>
      <c r="O64" s="17"/>
    </row>
  </sheetData>
  <phoneticPr fontId="6" type="noConversion"/>
  <printOptions horizontalCentered="1"/>
  <pageMargins left="0.75" right="0.75" top="0.5" bottom="0.25" header="0" footer="0"/>
  <pageSetup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V49"/>
  <sheetViews>
    <sheetView zoomScale="75" zoomScaleNormal="75" workbookViewId="0">
      <pane ySplit="3" topLeftCell="A14" activePane="bottomLeft" state="frozen"/>
      <selection pane="bottomLeft" activeCell="I34" sqref="I34"/>
    </sheetView>
  </sheetViews>
  <sheetFormatPr defaultColWidth="8" defaultRowHeight="11.25"/>
  <cols>
    <col min="1" max="1" width="11.5703125" style="2" customWidth="1"/>
    <col min="2" max="2" width="10.7109375" style="2" customWidth="1"/>
    <col min="3" max="3" width="4.7109375" style="2" customWidth="1"/>
    <col min="4" max="4" width="10.7109375" style="2" customWidth="1"/>
    <col min="5" max="5" width="4.7109375" style="2" customWidth="1"/>
    <col min="6" max="6" width="10.7109375" style="2" customWidth="1"/>
    <col min="7" max="7" width="4.7109375" style="2" customWidth="1"/>
    <col min="8" max="8" width="10.7109375" style="2" customWidth="1"/>
    <col min="9" max="9" width="4.7109375" style="2" customWidth="1"/>
    <col min="10" max="10" width="10.7109375" style="2" customWidth="1"/>
    <col min="11" max="11" width="4.7109375" style="2" customWidth="1"/>
    <col min="12" max="12" width="10.7109375" style="2" customWidth="1"/>
    <col min="13" max="13" width="4.7109375" style="2" customWidth="1"/>
    <col min="14" max="14" width="10.7109375" style="2" customWidth="1"/>
    <col min="15" max="15" width="4.7109375" style="2" customWidth="1"/>
    <col min="16" max="16384" width="8" style="2"/>
  </cols>
  <sheetData>
    <row r="1" spans="1:256" ht="15.75">
      <c r="A1" s="1" t="s">
        <v>16</v>
      </c>
      <c r="D1" s="3"/>
      <c r="E1" s="3"/>
      <c r="F1" s="4"/>
      <c r="G1" s="4"/>
      <c r="H1" s="4"/>
      <c r="I1" s="4"/>
      <c r="J1" s="4"/>
      <c r="K1" s="4"/>
      <c r="L1" s="5"/>
      <c r="M1" s="5"/>
      <c r="N1" s="5"/>
      <c r="Q1" s="27"/>
      <c r="R1" s="29"/>
    </row>
    <row r="2" spans="1:256" ht="12.75" customHeight="1">
      <c r="A2" s="6" t="s">
        <v>31</v>
      </c>
      <c r="B2" s="3"/>
      <c r="C2" s="3"/>
      <c r="D2" s="3"/>
      <c r="E2" s="3"/>
      <c r="F2" s="4"/>
      <c r="G2" s="4"/>
      <c r="H2" s="5"/>
      <c r="I2" s="5"/>
      <c r="J2" s="5"/>
      <c r="K2" s="5"/>
      <c r="L2" s="5"/>
      <c r="M2" s="5"/>
      <c r="N2" s="5"/>
    </row>
    <row r="3" spans="1:256" ht="12">
      <c r="A3" s="5"/>
      <c r="B3" s="7" t="s">
        <v>9</v>
      </c>
      <c r="C3" s="7"/>
      <c r="D3" s="7" t="s">
        <v>10</v>
      </c>
      <c r="E3" s="7"/>
      <c r="F3" s="7" t="s">
        <v>11</v>
      </c>
      <c r="G3" s="7"/>
      <c r="H3" s="7" t="s">
        <v>15</v>
      </c>
      <c r="I3" s="7"/>
      <c r="J3" s="7" t="s">
        <v>12</v>
      </c>
      <c r="K3" s="7"/>
      <c r="L3" s="7" t="s">
        <v>13</v>
      </c>
      <c r="M3" s="7"/>
      <c r="N3" s="7" t="s">
        <v>18</v>
      </c>
    </row>
    <row r="4" spans="1:256" ht="12">
      <c r="A4" s="8" t="s">
        <v>19</v>
      </c>
      <c r="B4" s="9">
        <f>33*3</f>
        <v>99</v>
      </c>
      <c r="C4" s="10"/>
      <c r="D4" s="9">
        <f>33*3</f>
        <v>99</v>
      </c>
      <c r="E4" s="10"/>
      <c r="F4" s="9">
        <f>33*3</f>
        <v>99</v>
      </c>
      <c r="G4" s="10"/>
      <c r="H4" s="9">
        <f>33*3</f>
        <v>99</v>
      </c>
      <c r="I4" s="10"/>
      <c r="J4" s="9">
        <f>33*3</f>
        <v>99</v>
      </c>
      <c r="K4" s="10"/>
      <c r="L4" s="9">
        <f>33*3</f>
        <v>99</v>
      </c>
      <c r="M4" s="10"/>
      <c r="N4" s="11">
        <f t="shared" ref="N4:N17" si="0">+L4+J4+H4+F4+D4+B4</f>
        <v>594</v>
      </c>
      <c r="O4" s="10"/>
      <c r="P4" s="12"/>
      <c r="Q4" s="8"/>
      <c r="R4" s="13"/>
      <c r="S4" s="13"/>
      <c r="T4" s="12"/>
      <c r="U4" s="12"/>
      <c r="V4" s="12"/>
      <c r="W4" s="12"/>
      <c r="X4" s="12"/>
      <c r="Y4" s="8"/>
      <c r="Z4" s="13"/>
      <c r="AA4" s="13"/>
      <c r="AB4" s="12"/>
      <c r="AC4" s="12"/>
      <c r="AD4" s="12"/>
      <c r="AE4" s="12"/>
      <c r="AF4" s="12"/>
      <c r="AG4" s="8"/>
      <c r="AH4" s="13"/>
      <c r="AI4" s="13"/>
      <c r="AJ4" s="12"/>
      <c r="AK4" s="12"/>
      <c r="AL4" s="12"/>
      <c r="AM4" s="12"/>
      <c r="AN4" s="12"/>
      <c r="AO4" s="8"/>
      <c r="AP4" s="13"/>
      <c r="AQ4" s="13"/>
      <c r="AR4" s="12"/>
      <c r="AS4" s="12"/>
      <c r="AT4" s="12"/>
      <c r="AU4" s="12"/>
      <c r="AV4" s="12"/>
      <c r="AW4" s="8"/>
      <c r="AX4" s="13"/>
      <c r="AY4" s="13"/>
      <c r="AZ4" s="12"/>
      <c r="BA4" s="12"/>
      <c r="BB4" s="12"/>
      <c r="BC4" s="12"/>
      <c r="BD4" s="12"/>
      <c r="BE4" s="8"/>
      <c r="BF4" s="13"/>
      <c r="BG4" s="13"/>
      <c r="BH4" s="12"/>
      <c r="BI4" s="12"/>
      <c r="BJ4" s="12"/>
      <c r="BK4" s="12"/>
      <c r="BL4" s="12"/>
      <c r="BM4" s="8"/>
      <c r="BN4" s="13"/>
      <c r="BO4" s="13"/>
      <c r="BP4" s="12"/>
      <c r="BQ4" s="12"/>
      <c r="BR4" s="12"/>
      <c r="BS4" s="12"/>
      <c r="BT4" s="12"/>
      <c r="BU4" s="8"/>
      <c r="BV4" s="13"/>
      <c r="BW4" s="13"/>
      <c r="BX4" s="12"/>
      <c r="BY4" s="12"/>
      <c r="BZ4" s="12"/>
      <c r="CA4" s="12"/>
      <c r="CB4" s="12"/>
      <c r="CC4" s="8"/>
      <c r="CD4" s="13"/>
      <c r="CE4" s="13"/>
      <c r="CF4" s="12"/>
      <c r="CG4" s="12"/>
      <c r="CH4" s="12"/>
      <c r="CI4" s="12"/>
      <c r="CJ4" s="12"/>
      <c r="CK4" s="8"/>
      <c r="CL4" s="13"/>
      <c r="CM4" s="13"/>
      <c r="CN4" s="12"/>
      <c r="CO4" s="12"/>
      <c r="CP4" s="12"/>
      <c r="CQ4" s="12"/>
      <c r="CR4" s="12"/>
      <c r="CS4" s="8"/>
      <c r="CT4" s="13"/>
      <c r="CU4" s="13"/>
      <c r="CV4" s="12"/>
      <c r="CW4" s="12"/>
      <c r="CX4" s="12"/>
      <c r="CY4" s="12"/>
      <c r="CZ4" s="12"/>
      <c r="DA4" s="8"/>
      <c r="DB4" s="13"/>
      <c r="DC4" s="13"/>
      <c r="DD4" s="12"/>
      <c r="DE4" s="12"/>
      <c r="DF4" s="12"/>
      <c r="DG4" s="12"/>
      <c r="DH4" s="12"/>
      <c r="DI4" s="8"/>
      <c r="DJ4" s="13"/>
      <c r="DK4" s="13"/>
      <c r="DL4" s="12"/>
      <c r="DM4" s="12"/>
      <c r="DN4" s="12"/>
      <c r="DO4" s="12"/>
      <c r="DP4" s="12"/>
      <c r="DQ4" s="8"/>
      <c r="DR4" s="13"/>
      <c r="DS4" s="13"/>
      <c r="DT4" s="12"/>
      <c r="DU4" s="12"/>
      <c r="DV4" s="12"/>
      <c r="DW4" s="12"/>
      <c r="DX4" s="12"/>
      <c r="DY4" s="8"/>
      <c r="DZ4" s="13"/>
      <c r="EA4" s="13"/>
      <c r="EB4" s="12"/>
      <c r="EC4" s="12"/>
      <c r="ED4" s="12"/>
      <c r="EE4" s="12"/>
      <c r="EF4" s="12"/>
      <c r="EG4" s="8"/>
      <c r="EH4" s="13"/>
      <c r="EI4" s="13"/>
      <c r="EJ4" s="12"/>
      <c r="EK4" s="12"/>
      <c r="EL4" s="12"/>
      <c r="EM4" s="12"/>
      <c r="EN4" s="12"/>
      <c r="EO4" s="8"/>
      <c r="EP4" s="13"/>
      <c r="EQ4" s="13"/>
      <c r="ER4" s="12"/>
      <c r="ES4" s="12"/>
      <c r="ET4" s="12"/>
      <c r="EU4" s="12"/>
      <c r="EV4" s="12"/>
      <c r="EW4" s="8"/>
      <c r="EX4" s="13"/>
      <c r="EY4" s="13"/>
      <c r="EZ4" s="12"/>
      <c r="FA4" s="12"/>
      <c r="FB4" s="12"/>
      <c r="FC4" s="12"/>
      <c r="FD4" s="12"/>
      <c r="FE4" s="8"/>
      <c r="FF4" s="13"/>
      <c r="FG4" s="13"/>
      <c r="FH4" s="12"/>
      <c r="FI4" s="12"/>
      <c r="FJ4" s="12"/>
      <c r="FK4" s="12"/>
      <c r="FL4" s="12"/>
      <c r="FM4" s="8"/>
      <c r="FN4" s="13"/>
      <c r="FO4" s="13"/>
      <c r="FP4" s="12"/>
      <c r="FQ4" s="12"/>
      <c r="FR4" s="12"/>
      <c r="FS4" s="12"/>
      <c r="FT4" s="12"/>
      <c r="FU4" s="8"/>
      <c r="FV4" s="13"/>
      <c r="FW4" s="13"/>
      <c r="FX4" s="12"/>
      <c r="FY4" s="12"/>
      <c r="FZ4" s="12"/>
      <c r="GA4" s="12"/>
      <c r="GB4" s="12"/>
      <c r="GC4" s="8"/>
      <c r="GD4" s="13"/>
      <c r="GE4" s="13"/>
      <c r="GF4" s="12"/>
      <c r="GG4" s="12"/>
      <c r="GH4" s="12"/>
      <c r="GI4" s="12"/>
      <c r="GJ4" s="12"/>
      <c r="GK4" s="8"/>
      <c r="GL4" s="13"/>
      <c r="GM4" s="13"/>
      <c r="GN4" s="12"/>
      <c r="GO4" s="12"/>
      <c r="GP4" s="12"/>
      <c r="GQ4" s="12"/>
      <c r="GR4" s="12"/>
      <c r="GS4" s="8"/>
      <c r="GT4" s="13"/>
      <c r="GU4" s="13"/>
      <c r="GV4" s="12"/>
      <c r="GW4" s="12"/>
      <c r="GX4" s="12"/>
      <c r="GY4" s="12"/>
      <c r="GZ4" s="12"/>
      <c r="HA4" s="8"/>
      <c r="HB4" s="13"/>
      <c r="HC4" s="13"/>
      <c r="HD4" s="12"/>
      <c r="HE4" s="12"/>
      <c r="HF4" s="12"/>
      <c r="HG4" s="12"/>
      <c r="HH4" s="12"/>
      <c r="HI4" s="8"/>
      <c r="HJ4" s="13"/>
      <c r="HK4" s="13"/>
      <c r="HL4" s="12"/>
      <c r="HM4" s="12"/>
      <c r="HN4" s="12"/>
      <c r="HO4" s="12"/>
      <c r="HP4" s="12"/>
      <c r="HQ4" s="8"/>
      <c r="HR4" s="13"/>
      <c r="HS4" s="13"/>
      <c r="HT4" s="12"/>
      <c r="HU4" s="12"/>
      <c r="HV4" s="12"/>
      <c r="HW4" s="12"/>
      <c r="HX4" s="12"/>
      <c r="HY4" s="8"/>
      <c r="HZ4" s="13"/>
      <c r="IA4" s="13"/>
      <c r="IB4" s="12"/>
      <c r="IC4" s="12"/>
      <c r="ID4" s="12"/>
      <c r="IE4" s="12"/>
      <c r="IF4" s="12"/>
      <c r="IG4" s="8"/>
      <c r="IH4" s="13"/>
      <c r="II4" s="13"/>
      <c r="IJ4" s="12"/>
      <c r="IK4" s="12"/>
      <c r="IL4" s="12"/>
      <c r="IM4" s="12"/>
      <c r="IN4" s="12"/>
      <c r="IO4" s="8"/>
      <c r="IP4" s="13"/>
      <c r="IQ4" s="13"/>
      <c r="IR4" s="12"/>
      <c r="IS4" s="12"/>
      <c r="IT4" s="12"/>
      <c r="IU4" s="12"/>
      <c r="IV4" s="12"/>
    </row>
    <row r="5" spans="1:256" ht="12">
      <c r="A5" s="8" t="s">
        <v>32</v>
      </c>
      <c r="B5" s="13">
        <f>34.5*3</f>
        <v>103.5</v>
      </c>
      <c r="C5" s="10">
        <f t="shared" ref="C5:C17" si="1">(+B5-B4)/B4</f>
        <v>4.5454545454545456E-2</v>
      </c>
      <c r="D5" s="13">
        <f>34.5*3</f>
        <v>103.5</v>
      </c>
      <c r="E5" s="10">
        <f t="shared" ref="E5:E17" si="2">(+D5-D4)/D4</f>
        <v>4.5454545454545456E-2</v>
      </c>
      <c r="F5" s="13">
        <f>34.5*3</f>
        <v>103.5</v>
      </c>
      <c r="G5" s="10">
        <f t="shared" ref="G5:G17" si="3">(+F5-F4)/F4</f>
        <v>4.5454545454545456E-2</v>
      </c>
      <c r="H5" s="13">
        <f>34.5*3</f>
        <v>103.5</v>
      </c>
      <c r="I5" s="10">
        <f t="shared" ref="I5:I17" si="4">(+H5-H4)/H4</f>
        <v>4.5454545454545456E-2</v>
      </c>
      <c r="J5" s="13">
        <f>34.5*3</f>
        <v>103.5</v>
      </c>
      <c r="K5" s="10">
        <f t="shared" ref="K5:K17" si="5">(+J5-J4)/J4</f>
        <v>4.5454545454545456E-2</v>
      </c>
      <c r="L5" s="13">
        <f>34.5*3</f>
        <v>103.5</v>
      </c>
      <c r="M5" s="10">
        <f t="shared" ref="M5:M17" si="6">(+L5-L4)/L4</f>
        <v>4.5454545454545456E-2</v>
      </c>
      <c r="N5" s="14">
        <f t="shared" si="0"/>
        <v>621</v>
      </c>
      <c r="O5" s="10">
        <f t="shared" ref="O5:O17" si="7">(+N5-N4)/N4</f>
        <v>4.5454545454545456E-2</v>
      </c>
      <c r="P5" s="12"/>
      <c r="Q5" s="15"/>
      <c r="R5" s="13"/>
      <c r="S5" s="13"/>
      <c r="T5" s="12"/>
      <c r="U5" s="12"/>
      <c r="V5" s="12"/>
      <c r="W5" s="12"/>
      <c r="X5" s="12"/>
      <c r="Y5" s="15"/>
      <c r="Z5" s="13"/>
      <c r="AA5" s="13"/>
      <c r="AB5" s="12"/>
      <c r="AC5" s="12"/>
      <c r="AD5" s="12"/>
      <c r="AE5" s="12"/>
      <c r="AF5" s="12"/>
      <c r="AG5" s="15"/>
      <c r="AH5" s="13"/>
      <c r="AI5" s="13"/>
      <c r="AJ5" s="12"/>
      <c r="AK5" s="12"/>
      <c r="AL5" s="12"/>
      <c r="AM5" s="12"/>
      <c r="AN5" s="12"/>
      <c r="AO5" s="15"/>
      <c r="AP5" s="13"/>
      <c r="AQ5" s="13"/>
      <c r="AR5" s="12"/>
      <c r="AS5" s="12"/>
      <c r="AT5" s="12"/>
      <c r="AU5" s="12"/>
      <c r="AV5" s="12"/>
      <c r="AW5" s="15"/>
      <c r="AX5" s="13"/>
      <c r="AY5" s="13"/>
      <c r="AZ5" s="12"/>
      <c r="BA5" s="12"/>
      <c r="BB5" s="12"/>
      <c r="BC5" s="12"/>
      <c r="BD5" s="12"/>
      <c r="BE5" s="15"/>
      <c r="BF5" s="13"/>
      <c r="BG5" s="13"/>
      <c r="BH5" s="12"/>
      <c r="BI5" s="12"/>
      <c r="BJ5" s="12"/>
      <c r="BK5" s="12"/>
      <c r="BL5" s="12"/>
      <c r="BM5" s="15"/>
      <c r="BN5" s="13"/>
      <c r="BO5" s="13"/>
      <c r="BP5" s="12"/>
      <c r="BQ5" s="12"/>
      <c r="BR5" s="12"/>
      <c r="BS5" s="12"/>
      <c r="BT5" s="12"/>
      <c r="BU5" s="15"/>
      <c r="BV5" s="13"/>
      <c r="BW5" s="13"/>
      <c r="BX5" s="12"/>
      <c r="BY5" s="12"/>
      <c r="BZ5" s="12"/>
      <c r="CA5" s="12"/>
      <c r="CB5" s="12"/>
      <c r="CC5" s="15"/>
      <c r="CD5" s="13"/>
      <c r="CE5" s="13"/>
      <c r="CF5" s="12"/>
      <c r="CG5" s="12"/>
      <c r="CH5" s="12"/>
      <c r="CI5" s="12"/>
      <c r="CJ5" s="12"/>
      <c r="CK5" s="15"/>
      <c r="CL5" s="13"/>
      <c r="CM5" s="13"/>
      <c r="CN5" s="12"/>
      <c r="CO5" s="12"/>
      <c r="CP5" s="12"/>
      <c r="CQ5" s="12"/>
      <c r="CR5" s="12"/>
      <c r="CS5" s="15"/>
      <c r="CT5" s="13"/>
      <c r="CU5" s="13"/>
      <c r="CV5" s="12"/>
      <c r="CW5" s="12"/>
      <c r="CX5" s="12"/>
      <c r="CY5" s="12"/>
      <c r="CZ5" s="12"/>
      <c r="DA5" s="15"/>
      <c r="DB5" s="13"/>
      <c r="DC5" s="13"/>
      <c r="DD5" s="12"/>
      <c r="DE5" s="12"/>
      <c r="DF5" s="12"/>
      <c r="DG5" s="12"/>
      <c r="DH5" s="12"/>
      <c r="DI5" s="15"/>
      <c r="DJ5" s="13"/>
      <c r="DK5" s="13"/>
      <c r="DL5" s="12"/>
      <c r="DM5" s="12"/>
      <c r="DN5" s="12"/>
      <c r="DO5" s="12"/>
      <c r="DP5" s="12"/>
      <c r="DQ5" s="15"/>
      <c r="DR5" s="13"/>
      <c r="DS5" s="13"/>
      <c r="DT5" s="12"/>
      <c r="DU5" s="12"/>
      <c r="DV5" s="12"/>
      <c r="DW5" s="12"/>
      <c r="DX5" s="12"/>
      <c r="DY5" s="15"/>
      <c r="DZ5" s="13"/>
      <c r="EA5" s="13"/>
      <c r="EB5" s="12"/>
      <c r="EC5" s="12"/>
      <c r="ED5" s="12"/>
      <c r="EE5" s="12"/>
      <c r="EF5" s="12"/>
      <c r="EG5" s="15"/>
      <c r="EH5" s="13"/>
      <c r="EI5" s="13"/>
      <c r="EJ5" s="12"/>
      <c r="EK5" s="12"/>
      <c r="EL5" s="12"/>
      <c r="EM5" s="12"/>
      <c r="EN5" s="12"/>
      <c r="EO5" s="15"/>
      <c r="EP5" s="13"/>
      <c r="EQ5" s="13"/>
      <c r="ER5" s="12"/>
      <c r="ES5" s="12"/>
      <c r="ET5" s="12"/>
      <c r="EU5" s="12"/>
      <c r="EV5" s="12"/>
      <c r="EW5" s="15"/>
      <c r="EX5" s="13"/>
      <c r="EY5" s="13"/>
      <c r="EZ5" s="12"/>
      <c r="FA5" s="12"/>
      <c r="FB5" s="12"/>
      <c r="FC5" s="12"/>
      <c r="FD5" s="12"/>
      <c r="FE5" s="15"/>
      <c r="FF5" s="13"/>
      <c r="FG5" s="13"/>
      <c r="FH5" s="12"/>
      <c r="FI5" s="12"/>
      <c r="FJ5" s="12"/>
      <c r="FK5" s="12"/>
      <c r="FL5" s="12"/>
      <c r="FM5" s="15"/>
      <c r="FN5" s="13"/>
      <c r="FO5" s="13"/>
      <c r="FP5" s="12"/>
      <c r="FQ5" s="12"/>
      <c r="FR5" s="12"/>
      <c r="FS5" s="12"/>
      <c r="FT5" s="12"/>
      <c r="FU5" s="15"/>
      <c r="FV5" s="13"/>
      <c r="FW5" s="13"/>
      <c r="FX5" s="12"/>
      <c r="FY5" s="12"/>
      <c r="FZ5" s="12"/>
      <c r="GA5" s="12"/>
      <c r="GB5" s="12"/>
      <c r="GC5" s="15"/>
      <c r="GD5" s="13"/>
      <c r="GE5" s="13"/>
      <c r="GF5" s="12"/>
      <c r="GG5" s="12"/>
      <c r="GH5" s="12"/>
      <c r="GI5" s="12"/>
      <c r="GJ5" s="12"/>
      <c r="GK5" s="15"/>
      <c r="GL5" s="13"/>
      <c r="GM5" s="13"/>
      <c r="GN5" s="12"/>
      <c r="GO5" s="12"/>
      <c r="GP5" s="12"/>
      <c r="GQ5" s="12"/>
      <c r="GR5" s="12"/>
      <c r="GS5" s="15"/>
      <c r="GT5" s="13"/>
      <c r="GU5" s="13"/>
      <c r="GV5" s="12"/>
      <c r="GW5" s="12"/>
      <c r="GX5" s="12"/>
      <c r="GY5" s="12"/>
      <c r="GZ5" s="12"/>
      <c r="HA5" s="15"/>
      <c r="HB5" s="13"/>
      <c r="HC5" s="13"/>
      <c r="HD5" s="12"/>
      <c r="HE5" s="12"/>
      <c r="HF5" s="12"/>
      <c r="HG5" s="12"/>
      <c r="HH5" s="12"/>
      <c r="HI5" s="15"/>
      <c r="HJ5" s="13"/>
      <c r="HK5" s="13"/>
      <c r="HL5" s="12"/>
      <c r="HM5" s="12"/>
      <c r="HN5" s="12"/>
      <c r="HO5" s="12"/>
      <c r="HP5" s="12"/>
      <c r="HQ5" s="15"/>
      <c r="HR5" s="13"/>
      <c r="HS5" s="13"/>
      <c r="HT5" s="12"/>
      <c r="HU5" s="12"/>
      <c r="HV5" s="12"/>
      <c r="HW5" s="12"/>
      <c r="HX5" s="12"/>
      <c r="HY5" s="15"/>
      <c r="HZ5" s="13"/>
      <c r="IA5" s="13"/>
      <c r="IB5" s="12"/>
      <c r="IC5" s="12"/>
      <c r="ID5" s="12"/>
      <c r="IE5" s="12"/>
      <c r="IF5" s="12"/>
      <c r="IG5" s="15"/>
      <c r="IH5" s="13"/>
      <c r="II5" s="13"/>
      <c r="IJ5" s="12"/>
      <c r="IK5" s="12"/>
      <c r="IL5" s="12"/>
      <c r="IM5" s="12"/>
      <c r="IN5" s="12"/>
      <c r="IO5" s="15"/>
      <c r="IP5" s="13"/>
      <c r="IQ5" s="13"/>
      <c r="IR5" s="12"/>
      <c r="IS5" s="12"/>
      <c r="IT5" s="12"/>
      <c r="IU5" s="12"/>
      <c r="IV5" s="12"/>
    </row>
    <row r="6" spans="1:256" ht="12">
      <c r="A6" s="8" t="s">
        <v>21</v>
      </c>
      <c r="B6" s="13">
        <f>38*3</f>
        <v>114</v>
      </c>
      <c r="C6" s="10">
        <f t="shared" si="1"/>
        <v>0.10144927536231885</v>
      </c>
      <c r="D6" s="13">
        <f>38*3</f>
        <v>114</v>
      </c>
      <c r="E6" s="10">
        <f t="shared" si="2"/>
        <v>0.10144927536231885</v>
      </c>
      <c r="F6" s="13">
        <f>38*3</f>
        <v>114</v>
      </c>
      <c r="G6" s="10">
        <f t="shared" si="3"/>
        <v>0.10144927536231885</v>
      </c>
      <c r="H6" s="13">
        <f>38*3</f>
        <v>114</v>
      </c>
      <c r="I6" s="10">
        <f t="shared" si="4"/>
        <v>0.10144927536231885</v>
      </c>
      <c r="J6" s="13">
        <f>38*3</f>
        <v>114</v>
      </c>
      <c r="K6" s="10">
        <f t="shared" si="5"/>
        <v>0.10144927536231885</v>
      </c>
      <c r="L6" s="13">
        <f>38*3</f>
        <v>114</v>
      </c>
      <c r="M6" s="10">
        <f t="shared" si="6"/>
        <v>0.10144927536231885</v>
      </c>
      <c r="N6" s="14">
        <f t="shared" si="0"/>
        <v>684</v>
      </c>
      <c r="O6" s="10">
        <f t="shared" si="7"/>
        <v>0.10144927536231885</v>
      </c>
      <c r="P6" s="12"/>
      <c r="Q6" s="8"/>
      <c r="R6" s="13"/>
      <c r="S6" s="13"/>
      <c r="T6" s="12"/>
      <c r="U6" s="12"/>
      <c r="V6" s="12"/>
      <c r="W6" s="12"/>
      <c r="X6" s="12"/>
      <c r="Y6" s="8"/>
      <c r="Z6" s="13"/>
      <c r="AA6" s="13"/>
      <c r="AB6" s="12"/>
      <c r="AC6" s="12"/>
      <c r="AD6" s="12"/>
      <c r="AE6" s="12"/>
      <c r="AF6" s="12"/>
      <c r="AG6" s="8"/>
      <c r="AH6" s="13"/>
      <c r="AI6" s="13"/>
      <c r="AJ6" s="12"/>
      <c r="AK6" s="12"/>
      <c r="AL6" s="12"/>
      <c r="AM6" s="12"/>
      <c r="AN6" s="12"/>
      <c r="AO6" s="8"/>
      <c r="AP6" s="13"/>
      <c r="AQ6" s="13"/>
      <c r="AR6" s="12"/>
      <c r="AS6" s="12"/>
      <c r="AT6" s="12"/>
      <c r="AU6" s="12"/>
      <c r="AV6" s="12"/>
      <c r="AW6" s="8"/>
      <c r="AX6" s="13"/>
      <c r="AY6" s="13"/>
      <c r="AZ6" s="12"/>
      <c r="BA6" s="12"/>
      <c r="BB6" s="12"/>
      <c r="BC6" s="12"/>
      <c r="BD6" s="12"/>
      <c r="BE6" s="8"/>
      <c r="BF6" s="13"/>
      <c r="BG6" s="13"/>
      <c r="BH6" s="12"/>
      <c r="BI6" s="12"/>
      <c r="BJ6" s="12"/>
      <c r="BK6" s="12"/>
      <c r="BL6" s="12"/>
      <c r="BM6" s="8"/>
      <c r="BN6" s="13"/>
      <c r="BO6" s="13"/>
      <c r="BP6" s="12"/>
      <c r="BQ6" s="12"/>
      <c r="BR6" s="12"/>
      <c r="BS6" s="12"/>
      <c r="BT6" s="12"/>
      <c r="BU6" s="8"/>
      <c r="BV6" s="13"/>
      <c r="BW6" s="13"/>
      <c r="BX6" s="12"/>
      <c r="BY6" s="12"/>
      <c r="BZ6" s="12"/>
      <c r="CA6" s="12"/>
      <c r="CB6" s="12"/>
      <c r="CC6" s="8"/>
      <c r="CD6" s="13"/>
      <c r="CE6" s="13"/>
      <c r="CF6" s="12"/>
      <c r="CG6" s="12"/>
      <c r="CH6" s="12"/>
      <c r="CI6" s="12"/>
      <c r="CJ6" s="12"/>
      <c r="CK6" s="8"/>
      <c r="CL6" s="13"/>
      <c r="CM6" s="13"/>
      <c r="CN6" s="12"/>
      <c r="CO6" s="12"/>
      <c r="CP6" s="12"/>
      <c r="CQ6" s="12"/>
      <c r="CR6" s="12"/>
      <c r="CS6" s="8"/>
      <c r="CT6" s="13"/>
      <c r="CU6" s="13"/>
      <c r="CV6" s="12"/>
      <c r="CW6" s="12"/>
      <c r="CX6" s="12"/>
      <c r="CY6" s="12"/>
      <c r="CZ6" s="12"/>
      <c r="DA6" s="8"/>
      <c r="DB6" s="13"/>
      <c r="DC6" s="13"/>
      <c r="DD6" s="12"/>
      <c r="DE6" s="12"/>
      <c r="DF6" s="12"/>
      <c r="DG6" s="12"/>
      <c r="DH6" s="12"/>
      <c r="DI6" s="8"/>
      <c r="DJ6" s="13"/>
      <c r="DK6" s="13"/>
      <c r="DL6" s="12"/>
      <c r="DM6" s="12"/>
      <c r="DN6" s="12"/>
      <c r="DO6" s="12"/>
      <c r="DP6" s="12"/>
      <c r="DQ6" s="8"/>
      <c r="DR6" s="13"/>
      <c r="DS6" s="13"/>
      <c r="DT6" s="12"/>
      <c r="DU6" s="12"/>
      <c r="DV6" s="12"/>
      <c r="DW6" s="12"/>
      <c r="DX6" s="12"/>
      <c r="DY6" s="8"/>
      <c r="DZ6" s="13"/>
      <c r="EA6" s="13"/>
      <c r="EB6" s="12"/>
      <c r="EC6" s="12"/>
      <c r="ED6" s="12"/>
      <c r="EE6" s="12"/>
      <c r="EF6" s="12"/>
      <c r="EG6" s="8"/>
      <c r="EH6" s="13"/>
      <c r="EI6" s="13"/>
      <c r="EJ6" s="12"/>
      <c r="EK6" s="12"/>
      <c r="EL6" s="12"/>
      <c r="EM6" s="12"/>
      <c r="EN6" s="12"/>
      <c r="EO6" s="8"/>
      <c r="EP6" s="13"/>
      <c r="EQ6" s="13"/>
      <c r="ER6" s="12"/>
      <c r="ES6" s="12"/>
      <c r="ET6" s="12"/>
      <c r="EU6" s="12"/>
      <c r="EV6" s="12"/>
      <c r="EW6" s="8"/>
      <c r="EX6" s="13"/>
      <c r="EY6" s="13"/>
      <c r="EZ6" s="12"/>
      <c r="FA6" s="12"/>
      <c r="FB6" s="12"/>
      <c r="FC6" s="12"/>
      <c r="FD6" s="12"/>
      <c r="FE6" s="8"/>
      <c r="FF6" s="13"/>
      <c r="FG6" s="13"/>
      <c r="FH6" s="12"/>
      <c r="FI6" s="12"/>
      <c r="FJ6" s="12"/>
      <c r="FK6" s="12"/>
      <c r="FL6" s="12"/>
      <c r="FM6" s="8"/>
      <c r="FN6" s="13"/>
      <c r="FO6" s="13"/>
      <c r="FP6" s="12"/>
      <c r="FQ6" s="12"/>
      <c r="FR6" s="12"/>
      <c r="FS6" s="12"/>
      <c r="FT6" s="12"/>
      <c r="FU6" s="8"/>
      <c r="FV6" s="13"/>
      <c r="FW6" s="13"/>
      <c r="FX6" s="12"/>
      <c r="FY6" s="12"/>
      <c r="FZ6" s="12"/>
      <c r="GA6" s="12"/>
      <c r="GB6" s="12"/>
      <c r="GC6" s="8"/>
      <c r="GD6" s="13"/>
      <c r="GE6" s="13"/>
      <c r="GF6" s="12"/>
      <c r="GG6" s="12"/>
      <c r="GH6" s="12"/>
      <c r="GI6" s="12"/>
      <c r="GJ6" s="12"/>
      <c r="GK6" s="8"/>
      <c r="GL6" s="13"/>
      <c r="GM6" s="13"/>
      <c r="GN6" s="12"/>
      <c r="GO6" s="12"/>
      <c r="GP6" s="12"/>
      <c r="GQ6" s="12"/>
      <c r="GR6" s="12"/>
      <c r="GS6" s="8"/>
      <c r="GT6" s="13"/>
      <c r="GU6" s="13"/>
      <c r="GV6" s="12"/>
      <c r="GW6" s="12"/>
      <c r="GX6" s="12"/>
      <c r="GY6" s="12"/>
      <c r="GZ6" s="12"/>
      <c r="HA6" s="8"/>
      <c r="HB6" s="13"/>
      <c r="HC6" s="13"/>
      <c r="HD6" s="12"/>
      <c r="HE6" s="12"/>
      <c r="HF6" s="12"/>
      <c r="HG6" s="12"/>
      <c r="HH6" s="12"/>
      <c r="HI6" s="8"/>
      <c r="HJ6" s="13"/>
      <c r="HK6" s="13"/>
      <c r="HL6" s="12"/>
      <c r="HM6" s="12"/>
      <c r="HN6" s="12"/>
      <c r="HO6" s="12"/>
      <c r="HP6" s="12"/>
      <c r="HQ6" s="8"/>
      <c r="HR6" s="13"/>
      <c r="HS6" s="13"/>
      <c r="HT6" s="12"/>
      <c r="HU6" s="12"/>
      <c r="HV6" s="12"/>
      <c r="HW6" s="12"/>
      <c r="HX6" s="12"/>
      <c r="HY6" s="8"/>
      <c r="HZ6" s="13"/>
      <c r="IA6" s="13"/>
      <c r="IB6" s="12"/>
      <c r="IC6" s="12"/>
      <c r="ID6" s="12"/>
      <c r="IE6" s="12"/>
      <c r="IF6" s="12"/>
      <c r="IG6" s="8"/>
      <c r="IH6" s="13"/>
      <c r="II6" s="13"/>
      <c r="IJ6" s="12"/>
      <c r="IK6" s="12"/>
      <c r="IL6" s="12"/>
      <c r="IM6" s="12"/>
      <c r="IN6" s="12"/>
      <c r="IO6" s="8"/>
      <c r="IP6" s="13"/>
      <c r="IQ6" s="13"/>
      <c r="IR6" s="12"/>
      <c r="IS6" s="12"/>
      <c r="IT6" s="12"/>
      <c r="IU6" s="12"/>
      <c r="IV6" s="12"/>
    </row>
    <row r="7" spans="1:256" ht="12">
      <c r="A7" s="8" t="s">
        <v>22</v>
      </c>
      <c r="B7" s="16">
        <v>114</v>
      </c>
      <c r="C7" s="10">
        <f t="shared" si="1"/>
        <v>0</v>
      </c>
      <c r="D7" s="16">
        <v>114</v>
      </c>
      <c r="E7" s="10">
        <f t="shared" si="2"/>
        <v>0</v>
      </c>
      <c r="F7" s="16">
        <v>114</v>
      </c>
      <c r="G7" s="10">
        <f t="shared" si="3"/>
        <v>0</v>
      </c>
      <c r="H7" s="16">
        <v>114</v>
      </c>
      <c r="I7" s="10">
        <f t="shared" si="4"/>
        <v>0</v>
      </c>
      <c r="J7" s="16">
        <v>114</v>
      </c>
      <c r="K7" s="10">
        <f t="shared" si="5"/>
        <v>0</v>
      </c>
      <c r="L7" s="16">
        <v>114</v>
      </c>
      <c r="M7" s="10">
        <f t="shared" si="6"/>
        <v>0</v>
      </c>
      <c r="N7" s="14">
        <f t="shared" si="0"/>
        <v>684</v>
      </c>
      <c r="O7" s="10">
        <f t="shared" si="7"/>
        <v>0</v>
      </c>
    </row>
    <row r="8" spans="1:256" ht="12">
      <c r="A8" s="8" t="s">
        <v>23</v>
      </c>
      <c r="B8" s="16">
        <f>114+42.6</f>
        <v>156.6</v>
      </c>
      <c r="C8" s="10">
        <f t="shared" si="1"/>
        <v>0.37368421052631573</v>
      </c>
      <c r="D8" s="16">
        <f>114+12.36</f>
        <v>126.36</v>
      </c>
      <c r="E8" s="10">
        <f t="shared" si="2"/>
        <v>0.10842105263157895</v>
      </c>
      <c r="F8" s="14">
        <f>114+42.96</f>
        <v>156.96</v>
      </c>
      <c r="G8" s="10">
        <f t="shared" si="3"/>
        <v>0.37684210526315798</v>
      </c>
      <c r="H8" s="14">
        <v>124.32</v>
      </c>
      <c r="I8" s="10">
        <f t="shared" si="4"/>
        <v>9.0526315789473621E-2</v>
      </c>
      <c r="J8" s="14">
        <f>114+69.6</f>
        <v>183.6</v>
      </c>
      <c r="K8" s="10">
        <f t="shared" si="5"/>
        <v>0.61052631578947358</v>
      </c>
      <c r="L8" s="14">
        <f>114+54</f>
        <v>168</v>
      </c>
      <c r="M8" s="10">
        <f t="shared" si="6"/>
        <v>0.47368421052631576</v>
      </c>
      <c r="N8" s="14">
        <f t="shared" si="0"/>
        <v>915.84</v>
      </c>
      <c r="O8" s="10">
        <f t="shared" si="7"/>
        <v>0.33894736842105266</v>
      </c>
    </row>
    <row r="9" spans="1:256" ht="12">
      <c r="A9" s="8" t="s">
        <v>24</v>
      </c>
      <c r="B9" s="16">
        <v>156.75</v>
      </c>
      <c r="C9" s="10">
        <f t="shared" si="1"/>
        <v>9.5785440613030458E-4</v>
      </c>
      <c r="D9" s="16">
        <v>133.08000000000001</v>
      </c>
      <c r="E9" s="10">
        <f t="shared" si="2"/>
        <v>5.3181386514719951E-2</v>
      </c>
      <c r="F9" s="14">
        <v>171.36</v>
      </c>
      <c r="G9" s="10">
        <f t="shared" si="3"/>
        <v>9.1743119266055079E-2</v>
      </c>
      <c r="H9" s="14">
        <v>129.6</v>
      </c>
      <c r="I9" s="10">
        <f t="shared" si="4"/>
        <v>4.2471042471042483E-2</v>
      </c>
      <c r="J9" s="14">
        <v>183.6</v>
      </c>
      <c r="K9" s="10">
        <f t="shared" si="5"/>
        <v>0</v>
      </c>
      <c r="L9" s="14">
        <v>172.4</v>
      </c>
      <c r="M9" s="10">
        <f t="shared" si="6"/>
        <v>2.6190476190476226E-2</v>
      </c>
      <c r="N9" s="14">
        <f t="shared" si="0"/>
        <v>946.79000000000008</v>
      </c>
      <c r="O9" s="10">
        <f t="shared" si="7"/>
        <v>3.3794112508735201E-2</v>
      </c>
    </row>
    <row r="10" spans="1:256" ht="12">
      <c r="A10" s="8" t="s">
        <v>25</v>
      </c>
      <c r="B10" s="16">
        <v>157</v>
      </c>
      <c r="C10" s="10">
        <f t="shared" si="1"/>
        <v>1.594896331738437E-3</v>
      </c>
      <c r="D10" s="16">
        <v>150</v>
      </c>
      <c r="E10" s="10">
        <f t="shared" si="2"/>
        <v>0.12714156898106391</v>
      </c>
      <c r="F10" s="14">
        <v>168</v>
      </c>
      <c r="G10" s="10">
        <f t="shared" si="3"/>
        <v>-1.9607843137254981E-2</v>
      </c>
      <c r="H10" s="14">
        <v>131.76</v>
      </c>
      <c r="I10" s="10">
        <f t="shared" si="4"/>
        <v>1.6666666666666642E-2</v>
      </c>
      <c r="J10" s="14">
        <v>198</v>
      </c>
      <c r="K10" s="10">
        <f t="shared" si="5"/>
        <v>7.8431372549019635E-2</v>
      </c>
      <c r="L10" s="14">
        <v>176</v>
      </c>
      <c r="M10" s="10">
        <f t="shared" si="6"/>
        <v>2.0881670533642659E-2</v>
      </c>
      <c r="N10" s="14">
        <f t="shared" si="0"/>
        <v>980.76</v>
      </c>
      <c r="O10" s="10">
        <f t="shared" si="7"/>
        <v>3.5879128423409533E-2</v>
      </c>
    </row>
    <row r="11" spans="1:256" ht="12">
      <c r="A11" s="5" t="s">
        <v>26</v>
      </c>
      <c r="B11" s="17">
        <v>185</v>
      </c>
      <c r="C11" s="10">
        <f t="shared" si="1"/>
        <v>0.17834394904458598</v>
      </c>
      <c r="D11" s="17">
        <v>176.01</v>
      </c>
      <c r="E11" s="10">
        <f t="shared" si="2"/>
        <v>0.17339999999999994</v>
      </c>
      <c r="F11" s="17">
        <v>175</v>
      </c>
      <c r="G11" s="10">
        <f t="shared" si="3"/>
        <v>4.1666666666666664E-2</v>
      </c>
      <c r="H11" s="17">
        <v>136.56</v>
      </c>
      <c r="I11" s="10">
        <f t="shared" si="4"/>
        <v>3.6429872495446353E-2</v>
      </c>
      <c r="J11" s="17">
        <v>204</v>
      </c>
      <c r="K11" s="10">
        <f t="shared" si="5"/>
        <v>3.0303030303030304E-2</v>
      </c>
      <c r="L11" s="17">
        <v>185</v>
      </c>
      <c r="M11" s="10">
        <f t="shared" si="6"/>
        <v>5.113636363636364E-2</v>
      </c>
      <c r="N11" s="14">
        <f t="shared" si="0"/>
        <v>1061.57</v>
      </c>
      <c r="O11" s="10">
        <f t="shared" si="7"/>
        <v>8.2395285288959522E-2</v>
      </c>
      <c r="P11" s="18"/>
      <c r="Q11" s="24">
        <f t="shared" ref="Q11:Q17" si="8">+J11/24</f>
        <v>8.5</v>
      </c>
      <c r="R11" s="24"/>
    </row>
    <row r="12" spans="1:256" ht="12">
      <c r="A12" s="20" t="s">
        <v>27</v>
      </c>
      <c r="B12" s="17">
        <v>185</v>
      </c>
      <c r="C12" s="10">
        <f t="shared" si="1"/>
        <v>0</v>
      </c>
      <c r="D12" s="17">
        <v>155.94999999999999</v>
      </c>
      <c r="E12" s="10">
        <f t="shared" si="2"/>
        <v>-0.11397079711380037</v>
      </c>
      <c r="F12" s="17">
        <v>187.08</v>
      </c>
      <c r="G12" s="10">
        <f t="shared" si="3"/>
        <v>6.9028571428571495E-2</v>
      </c>
      <c r="H12" s="17">
        <v>129.12</v>
      </c>
      <c r="I12" s="10">
        <f t="shared" si="4"/>
        <v>-5.4481546572934955E-2</v>
      </c>
      <c r="J12" s="17">
        <v>222</v>
      </c>
      <c r="K12" s="10">
        <f t="shared" si="5"/>
        <v>8.8235294117647065E-2</v>
      </c>
      <c r="L12" s="17">
        <v>188.8</v>
      </c>
      <c r="M12" s="10">
        <f t="shared" si="6"/>
        <v>2.0540540540540601E-2</v>
      </c>
      <c r="N12" s="14">
        <f t="shared" si="0"/>
        <v>1067.95</v>
      </c>
      <c r="O12" s="10">
        <f t="shared" si="7"/>
        <v>6.0099663705644561E-3</v>
      </c>
      <c r="Q12" s="24">
        <f t="shared" si="8"/>
        <v>9.25</v>
      </c>
      <c r="R12" s="24">
        <f t="shared" ref="R12:R17" si="9">+Q12-Q11</f>
        <v>0.75</v>
      </c>
    </row>
    <row r="13" spans="1:256" ht="12">
      <c r="A13" s="20" t="s">
        <v>28</v>
      </c>
      <c r="B13" s="17">
        <v>197</v>
      </c>
      <c r="C13" s="10">
        <f t="shared" si="1"/>
        <v>6.4864864864864868E-2</v>
      </c>
      <c r="D13" s="17">
        <v>158</v>
      </c>
      <c r="E13" s="10">
        <f t="shared" si="2"/>
        <v>1.3145238858608603E-2</v>
      </c>
      <c r="F13" s="17">
        <v>184.08</v>
      </c>
      <c r="G13" s="10">
        <f t="shared" si="3"/>
        <v>-1.6035920461834507E-2</v>
      </c>
      <c r="H13" s="17">
        <v>131.28</v>
      </c>
      <c r="I13" s="10">
        <f t="shared" si="4"/>
        <v>1.6728624535315959E-2</v>
      </c>
      <c r="J13" s="17">
        <v>234</v>
      </c>
      <c r="K13" s="10">
        <f t="shared" si="5"/>
        <v>5.4054054054054057E-2</v>
      </c>
      <c r="L13" s="17">
        <v>188.8</v>
      </c>
      <c r="M13" s="10">
        <f t="shared" si="6"/>
        <v>0</v>
      </c>
      <c r="N13" s="14">
        <f t="shared" si="0"/>
        <v>1093.1600000000001</v>
      </c>
      <c r="O13" s="10">
        <f t="shared" si="7"/>
        <v>2.3605974062456139E-2</v>
      </c>
      <c r="Q13" s="24">
        <f t="shared" si="8"/>
        <v>9.75</v>
      </c>
      <c r="R13" s="24">
        <f t="shared" si="9"/>
        <v>0.5</v>
      </c>
    </row>
    <row r="14" spans="1:256" ht="12">
      <c r="A14" s="20" t="s">
        <v>29</v>
      </c>
      <c r="B14" s="17">
        <v>197</v>
      </c>
      <c r="C14" s="10">
        <f t="shared" si="1"/>
        <v>0</v>
      </c>
      <c r="D14" s="17">
        <v>216</v>
      </c>
      <c r="E14" s="10">
        <f t="shared" si="2"/>
        <v>0.36708860759493672</v>
      </c>
      <c r="F14" s="17">
        <v>184.08</v>
      </c>
      <c r="G14" s="10">
        <f t="shared" si="3"/>
        <v>0</v>
      </c>
      <c r="H14" s="17">
        <v>116.88</v>
      </c>
      <c r="I14" s="10">
        <f t="shared" si="4"/>
        <v>-0.10968921389396713</v>
      </c>
      <c r="J14" s="17">
        <v>242.4</v>
      </c>
      <c r="K14" s="10">
        <f t="shared" si="5"/>
        <v>3.5897435897435923E-2</v>
      </c>
      <c r="L14" s="17">
        <v>204.8</v>
      </c>
      <c r="M14" s="10">
        <f t="shared" si="6"/>
        <v>8.4745762711864403E-2</v>
      </c>
      <c r="N14" s="14">
        <f t="shared" si="0"/>
        <v>1161.1600000000001</v>
      </c>
      <c r="O14" s="10">
        <f t="shared" si="7"/>
        <v>6.2204983716930728E-2</v>
      </c>
      <c r="Q14" s="24">
        <f t="shared" si="8"/>
        <v>10.1</v>
      </c>
      <c r="R14" s="24">
        <f t="shared" si="9"/>
        <v>0.34999999999999964</v>
      </c>
    </row>
    <row r="15" spans="1:256" ht="12">
      <c r="A15" s="20" t="s">
        <v>30</v>
      </c>
      <c r="B15" s="17">
        <v>197</v>
      </c>
      <c r="C15" s="10">
        <f t="shared" si="1"/>
        <v>0</v>
      </c>
      <c r="D15" s="17">
        <v>246</v>
      </c>
      <c r="E15" s="10">
        <f t="shared" si="2"/>
        <v>0.1388888888888889</v>
      </c>
      <c r="F15" s="17">
        <v>180.72</v>
      </c>
      <c r="G15" s="10">
        <f t="shared" si="3"/>
        <v>-1.8252933507170867E-2</v>
      </c>
      <c r="H15" s="17">
        <v>127.44</v>
      </c>
      <c r="I15" s="10">
        <f t="shared" si="4"/>
        <v>9.0349075975359364E-2</v>
      </c>
      <c r="J15" s="17">
        <v>254</v>
      </c>
      <c r="K15" s="10">
        <f t="shared" si="5"/>
        <v>4.785478547854783E-2</v>
      </c>
      <c r="L15" s="17">
        <v>214.4</v>
      </c>
      <c r="M15" s="10">
        <f t="shared" si="6"/>
        <v>4.6874999999999972E-2</v>
      </c>
      <c r="N15" s="14">
        <f t="shared" si="0"/>
        <v>1219.56</v>
      </c>
      <c r="O15" s="10">
        <f t="shared" si="7"/>
        <v>5.0294533053153623E-2</v>
      </c>
      <c r="Q15" s="24">
        <f t="shared" si="8"/>
        <v>10.583333333333334</v>
      </c>
      <c r="R15" s="24">
        <f t="shared" si="9"/>
        <v>0.48333333333333428</v>
      </c>
    </row>
    <row r="16" spans="1:256" ht="12">
      <c r="A16" s="20" t="s">
        <v>35</v>
      </c>
      <c r="B16" s="30">
        <v>207</v>
      </c>
      <c r="C16" s="10">
        <f t="shared" si="1"/>
        <v>5.0761421319796954E-2</v>
      </c>
      <c r="D16" s="17">
        <v>244.8</v>
      </c>
      <c r="E16" s="10">
        <f t="shared" si="2"/>
        <v>-4.8780487804877589E-3</v>
      </c>
      <c r="F16" s="17">
        <v>185.04</v>
      </c>
      <c r="G16" s="10">
        <f t="shared" si="3"/>
        <v>2.3904382470119483E-2</v>
      </c>
      <c r="H16" s="17">
        <v>129.6</v>
      </c>
      <c r="I16" s="10">
        <f t="shared" si="4"/>
        <v>1.6949152542372854E-2</v>
      </c>
      <c r="J16" s="17">
        <v>260</v>
      </c>
      <c r="K16" s="10">
        <f t="shared" si="5"/>
        <v>2.3622047244094488E-2</v>
      </c>
      <c r="L16" s="17">
        <v>216</v>
      </c>
      <c r="M16" s="10">
        <f t="shared" si="6"/>
        <v>7.4626865671641521E-3</v>
      </c>
      <c r="N16" s="32">
        <f t="shared" si="0"/>
        <v>1242.44</v>
      </c>
      <c r="O16" s="10">
        <f t="shared" si="7"/>
        <v>1.8760864574108787E-2</v>
      </c>
      <c r="Q16" s="24">
        <f t="shared" si="8"/>
        <v>10.833333333333334</v>
      </c>
      <c r="R16" s="24">
        <f t="shared" si="9"/>
        <v>0.25</v>
      </c>
    </row>
    <row r="17" spans="1:18" ht="12">
      <c r="A17" s="20" t="s">
        <v>38</v>
      </c>
      <c r="B17" s="30">
        <v>213</v>
      </c>
      <c r="C17" s="10">
        <f t="shared" si="1"/>
        <v>2.8985507246376812E-2</v>
      </c>
      <c r="D17" s="17">
        <v>242.16</v>
      </c>
      <c r="E17" s="10">
        <f t="shared" si="2"/>
        <v>-1.0784313725490257E-2</v>
      </c>
      <c r="F17" s="17">
        <v>186.89</v>
      </c>
      <c r="G17" s="10">
        <f t="shared" si="3"/>
        <v>9.997838305231271E-3</v>
      </c>
      <c r="H17" s="30">
        <v>139.19999999999999</v>
      </c>
      <c r="I17" s="10">
        <f t="shared" si="4"/>
        <v>7.4074074074074028E-2</v>
      </c>
      <c r="J17" s="17">
        <v>271.2</v>
      </c>
      <c r="K17" s="10">
        <f t="shared" si="5"/>
        <v>4.3076923076923034E-2</v>
      </c>
      <c r="L17" s="17">
        <v>220.8</v>
      </c>
      <c r="M17" s="10">
        <f t="shared" si="6"/>
        <v>2.2222222222222275E-2</v>
      </c>
      <c r="N17" s="32">
        <f t="shared" si="0"/>
        <v>1273.25</v>
      </c>
      <c r="O17" s="10">
        <f t="shared" si="7"/>
        <v>2.4797978171984116E-2</v>
      </c>
      <c r="Q17" s="24">
        <f t="shared" si="8"/>
        <v>11.299999999999999</v>
      </c>
      <c r="R17" s="24">
        <f t="shared" si="9"/>
        <v>0.46666666666666501</v>
      </c>
    </row>
    <row r="18" spans="1:18" ht="12">
      <c r="A18" s="21"/>
      <c r="B18" s="5"/>
      <c r="C18" s="5"/>
      <c r="D18" s="5"/>
      <c r="E18" s="5"/>
      <c r="F18" s="5"/>
      <c r="G18" s="5"/>
      <c r="H18" s="5"/>
      <c r="I18" s="5"/>
      <c r="J18" s="5"/>
      <c r="K18" s="5"/>
      <c r="L18" s="5"/>
      <c r="M18" s="5"/>
      <c r="N18" s="5"/>
      <c r="O18" s="5"/>
    </row>
    <row r="19" spans="1:18" ht="15">
      <c r="A19" s="22" t="s">
        <v>42</v>
      </c>
      <c r="B19" s="17"/>
      <c r="C19" s="17"/>
      <c r="D19" s="17"/>
      <c r="E19" s="17"/>
      <c r="F19" s="17"/>
      <c r="G19" s="17"/>
      <c r="H19" s="17"/>
      <c r="I19" s="17"/>
      <c r="J19" s="17"/>
      <c r="K19" s="17"/>
      <c r="L19" s="33"/>
      <c r="M19" s="17"/>
      <c r="N19" s="17"/>
      <c r="O19" s="17"/>
    </row>
    <row r="20" spans="1:18" ht="12">
      <c r="B20" s="23"/>
      <c r="C20" s="5"/>
      <c r="D20" s="23"/>
      <c r="E20" s="5"/>
      <c r="F20" s="23"/>
      <c r="G20" s="5"/>
      <c r="H20" s="23"/>
      <c r="I20" s="5"/>
      <c r="J20" s="23"/>
      <c r="K20" s="5"/>
      <c r="L20" s="23"/>
      <c r="M20" s="5"/>
      <c r="N20" s="23"/>
      <c r="O20" s="5"/>
    </row>
    <row r="48" spans="1:1" s="29" customFormat="1" ht="15" customHeight="1">
      <c r="A48" s="27"/>
    </row>
    <row r="49" spans="1:1" s="29" customFormat="1" ht="12.75">
      <c r="A49" s="31"/>
    </row>
  </sheetData>
  <phoneticPr fontId="6" type="noConversion"/>
  <printOptions horizontalCentered="1"/>
  <pageMargins left="0.75" right="0.75" top="0.5" bottom="0.25" header="0"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A - Res Hall Rates</vt:lpstr>
      <vt:lpstr>B - Student Union Fees</vt:lpstr>
      <vt:lpstr>C - Wellness Fees</vt:lpstr>
      <vt:lpstr>D - Parking Fees</vt:lpstr>
      <vt:lpstr>E - Student Housing Owned</vt:lpstr>
      <vt:lpstr>E - Student Housing Managed</vt:lpstr>
      <vt:lpstr>Res Hall Rates Att A-2</vt:lpstr>
      <vt:lpstr>RH Rates Uninflated Att A-3</vt:lpstr>
      <vt:lpstr>Student Fees Att C-1</vt:lpstr>
      <vt:lpstr>SU  Uninflated Att C-2</vt:lpstr>
      <vt:lpstr>'A - Res Hall Rates'!Print_Area</vt:lpstr>
      <vt:lpstr>'B - Student Union Fees'!Print_Area</vt:lpstr>
      <vt:lpstr>'C - Wellness Fees'!Print_Area</vt:lpstr>
      <vt:lpstr>'E - Student Housing Managed'!Print_Area</vt:lpstr>
      <vt:lpstr>'E - Student Housing Owned'!Print_Area</vt:lpstr>
      <vt:lpstr>'Res Hall Rates Att A-2'!Print_Area</vt:lpstr>
      <vt:lpstr>'RH Rates Uninflated Att A-3'!Print_Area</vt:lpstr>
      <vt:lpstr>'Student Fees Att C-1'!Print_Area</vt:lpstr>
      <vt:lpstr>'SU  Uninflated Att C-2'!Print_Area</vt:lpstr>
      <vt:lpstr>'A - Res Hall Rates'!Print_Titles</vt:lpstr>
      <vt:lpstr>'E - Student Housing Owned'!Print_Titles</vt:lpstr>
    </vt:vector>
  </TitlesOfParts>
  <Company>MnSCU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Sieglinde Bier</dc:creator>
  <cp:lastModifiedBy>Matt MacInnes</cp:lastModifiedBy>
  <cp:lastPrinted>2018-05-03T12:57:34Z</cp:lastPrinted>
  <dcterms:created xsi:type="dcterms:W3CDTF">2001-01-09T17:11:42Z</dcterms:created>
  <dcterms:modified xsi:type="dcterms:W3CDTF">2018-06-20T16:23:30Z</dcterms:modified>
</cp:coreProperties>
</file>